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 tabRatio="800" activeTab="1"/>
  </bookViews>
  <sheets>
    <sheet name="汇总表" sheetId="22" r:id="rId1"/>
    <sheet name="明细表" sheetId="21" r:id="rId2"/>
  </sheets>
  <definedNames>
    <definedName name="_xlnm.Print_Titles" localSheetId="1">明细表!$2:$4</definedName>
  </definedNames>
  <calcPr calcId="145621"/>
</workbook>
</file>

<file path=xl/calcChain.xml><?xml version="1.0" encoding="utf-8"?>
<calcChain xmlns="http://schemas.openxmlformats.org/spreadsheetml/2006/main">
  <c r="L70" i="21" l="1"/>
  <c r="O70" i="21"/>
  <c r="P70" i="21"/>
  <c r="Q70" i="21"/>
  <c r="R70" i="21"/>
  <c r="S70" i="21"/>
  <c r="T70" i="21"/>
  <c r="V70" i="21"/>
  <c r="W70" i="21"/>
  <c r="X70" i="21"/>
  <c r="Y70" i="21"/>
  <c r="Z70" i="21"/>
  <c r="U70" i="21"/>
  <c r="Z25" i="21" l="1"/>
  <c r="Z20" i="21"/>
  <c r="Z15" i="21"/>
  <c r="Z47" i="21"/>
  <c r="Z32" i="21"/>
  <c r="Z72" i="21"/>
  <c r="Z73" i="21"/>
  <c r="Y8" i="21"/>
  <c r="Y9" i="21"/>
  <c r="Y10" i="21"/>
  <c r="Y11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46" i="21"/>
  <c r="Y47" i="21"/>
  <c r="Y48" i="21"/>
  <c r="Y49" i="21"/>
  <c r="Y50" i="21"/>
  <c r="Y51" i="21"/>
  <c r="Y52" i="21"/>
  <c r="Y54" i="21"/>
  <c r="Y55" i="21"/>
  <c r="Y56" i="21"/>
  <c r="Y57" i="21"/>
  <c r="Y58" i="21"/>
  <c r="Y59" i="21"/>
  <c r="Y60" i="21"/>
  <c r="Y61" i="21"/>
  <c r="Y62" i="21"/>
  <c r="Y63" i="21"/>
  <c r="Y64" i="21"/>
  <c r="Y65" i="21"/>
  <c r="Y66" i="21"/>
  <c r="Y67" i="21"/>
  <c r="Y68" i="21"/>
  <c r="Y69" i="21"/>
  <c r="Y71" i="21"/>
  <c r="Y72" i="21"/>
  <c r="Y73" i="21"/>
  <c r="Y74" i="21"/>
  <c r="Y75" i="21"/>
  <c r="Y76" i="21"/>
  <c r="Y77" i="21"/>
  <c r="Y78" i="21"/>
  <c r="Y79" i="21"/>
  <c r="Y80" i="21"/>
  <c r="Y81" i="21"/>
  <c r="Y82" i="21"/>
  <c r="Y83" i="21"/>
  <c r="Y84" i="21"/>
  <c r="Y85" i="21"/>
  <c r="Y86" i="21"/>
  <c r="Y87" i="21"/>
  <c r="Y88" i="21"/>
  <c r="Y89" i="21"/>
  <c r="Y90" i="21"/>
  <c r="Y91" i="21"/>
  <c r="Y92" i="21"/>
  <c r="Y93" i="21"/>
  <c r="Y94" i="21"/>
  <c r="Y7" i="21"/>
  <c r="U73" i="21"/>
  <c r="R72" i="21"/>
  <c r="U72" i="21" s="1"/>
  <c r="T73" i="21"/>
  <c r="R73" i="21"/>
  <c r="T72" i="21"/>
  <c r="X73" i="21" l="1"/>
  <c r="X72" i="21"/>
  <c r="C8" i="22" l="1"/>
  <c r="C12" i="22"/>
  <c r="C14" i="22"/>
  <c r="D17" i="22"/>
  <c r="C17" i="22" s="1"/>
  <c r="D16" i="22"/>
  <c r="C16" i="22" s="1"/>
  <c r="D15" i="22"/>
  <c r="C15" i="22" s="1"/>
  <c r="D13" i="22"/>
  <c r="C13" i="22" s="1"/>
  <c r="D11" i="22"/>
  <c r="C11" i="22" s="1"/>
  <c r="D10" i="22"/>
  <c r="C10" i="22" s="1"/>
  <c r="D9" i="22"/>
  <c r="C9" i="22" s="1"/>
  <c r="C7" i="22"/>
  <c r="E6" i="22"/>
  <c r="O54" i="21"/>
  <c r="P54" i="21"/>
  <c r="P53" i="21" s="1"/>
  <c r="Q54" i="21"/>
  <c r="Q53" i="21" s="1"/>
  <c r="S54" i="21"/>
  <c r="S53" i="21" s="1"/>
  <c r="Y6" i="21"/>
  <c r="O44" i="21"/>
  <c r="V44" i="21"/>
  <c r="W44" i="21"/>
  <c r="W92" i="21"/>
  <c r="W90" i="21"/>
  <c r="D6" i="22" l="1"/>
  <c r="C6" i="22"/>
  <c r="T94" i="21" l="1"/>
  <c r="R94" i="21"/>
  <c r="T93" i="21"/>
  <c r="R93" i="21"/>
  <c r="T89" i="21"/>
  <c r="R89" i="21"/>
  <c r="O88" i="21"/>
  <c r="L88" i="21"/>
  <c r="T87" i="21"/>
  <c r="R87" i="21"/>
  <c r="T86" i="21"/>
  <c r="R86" i="21"/>
  <c r="W85" i="21"/>
  <c r="V85" i="21"/>
  <c r="O85" i="21"/>
  <c r="L85" i="21"/>
  <c r="T84" i="21"/>
  <c r="R84" i="21"/>
  <c r="T83" i="21"/>
  <c r="R83" i="21"/>
  <c r="T82" i="21"/>
  <c r="R82" i="21"/>
  <c r="T81" i="21"/>
  <c r="R81" i="21"/>
  <c r="T80" i="21"/>
  <c r="R80" i="21"/>
  <c r="T79" i="21"/>
  <c r="R79" i="21"/>
  <c r="T78" i="21"/>
  <c r="R78" i="21"/>
  <c r="W77" i="21"/>
  <c r="V77" i="21"/>
  <c r="O77" i="21"/>
  <c r="L77" i="21"/>
  <c r="T76" i="21"/>
  <c r="R76" i="21"/>
  <c r="T75" i="21"/>
  <c r="R75" i="21"/>
  <c r="W74" i="21"/>
  <c r="V74" i="21"/>
  <c r="O74" i="21"/>
  <c r="L74" i="21"/>
  <c r="T71" i="21"/>
  <c r="R71" i="21"/>
  <c r="G12" i="22"/>
  <c r="T69" i="21"/>
  <c r="R69" i="21"/>
  <c r="T68" i="21"/>
  <c r="R68" i="21"/>
  <c r="W67" i="21"/>
  <c r="V67" i="21"/>
  <c r="O67" i="21"/>
  <c r="L67" i="21"/>
  <c r="T66" i="21"/>
  <c r="R66" i="21"/>
  <c r="R65" i="21" s="1"/>
  <c r="W65" i="21"/>
  <c r="V65" i="21"/>
  <c r="O65" i="21"/>
  <c r="L65" i="21"/>
  <c r="T64" i="21"/>
  <c r="R64" i="21"/>
  <c r="T63" i="21"/>
  <c r="R63" i="21"/>
  <c r="T62" i="21"/>
  <c r="R62" i="21"/>
  <c r="T61" i="21"/>
  <c r="R61" i="21"/>
  <c r="T60" i="21"/>
  <c r="R60" i="21"/>
  <c r="T59" i="21"/>
  <c r="R59" i="21"/>
  <c r="T58" i="21"/>
  <c r="R58" i="21"/>
  <c r="T57" i="21"/>
  <c r="R57" i="21"/>
  <c r="W56" i="21"/>
  <c r="V56" i="21"/>
  <c r="O56" i="21"/>
  <c r="T55" i="21"/>
  <c r="T54" i="21" s="1"/>
  <c r="T53" i="21" s="1"/>
  <c r="R55" i="21"/>
  <c r="R54" i="21" s="1"/>
  <c r="W54" i="21"/>
  <c r="G8" i="22" s="1"/>
  <c r="V54" i="21"/>
  <c r="T92" i="21"/>
  <c r="R92" i="21"/>
  <c r="T91" i="21"/>
  <c r="R91" i="21"/>
  <c r="T90" i="21"/>
  <c r="R90" i="21"/>
  <c r="T52" i="21"/>
  <c r="R52" i="21"/>
  <c r="T51" i="21"/>
  <c r="R51" i="21"/>
  <c r="T50" i="21"/>
  <c r="R50" i="21"/>
  <c r="T49" i="21"/>
  <c r="R49" i="21"/>
  <c r="T48" i="21"/>
  <c r="R48" i="21"/>
  <c r="T47" i="21"/>
  <c r="R47" i="21"/>
  <c r="T46" i="21"/>
  <c r="R46" i="21"/>
  <c r="T45" i="21"/>
  <c r="R45" i="21"/>
  <c r="L44" i="21"/>
  <c r="T43" i="21"/>
  <c r="R43" i="21"/>
  <c r="T42" i="21"/>
  <c r="R42" i="21"/>
  <c r="T41" i="21"/>
  <c r="R41" i="21"/>
  <c r="T40" i="21"/>
  <c r="R40" i="21"/>
  <c r="W39" i="21"/>
  <c r="G17" i="22" s="1"/>
  <c r="V39" i="21"/>
  <c r="S39" i="21"/>
  <c r="Q39" i="21"/>
  <c r="P39" i="21"/>
  <c r="O39" i="21"/>
  <c r="L39" i="21"/>
  <c r="T38" i="21"/>
  <c r="R38" i="21"/>
  <c r="T37" i="21"/>
  <c r="R37" i="21"/>
  <c r="T36" i="21"/>
  <c r="R36" i="21"/>
  <c r="T35" i="21"/>
  <c r="R35" i="21"/>
  <c r="T34" i="21"/>
  <c r="R34" i="21"/>
  <c r="W33" i="21"/>
  <c r="G15" i="22" s="1"/>
  <c r="V33" i="21"/>
  <c r="S33" i="21"/>
  <c r="Q33" i="21"/>
  <c r="P33" i="21"/>
  <c r="O33" i="21"/>
  <c r="T32" i="21"/>
  <c r="R32" i="21"/>
  <c r="T31" i="21"/>
  <c r="R31" i="21"/>
  <c r="T30" i="21"/>
  <c r="R30" i="21"/>
  <c r="U29" i="21"/>
  <c r="T29" i="21"/>
  <c r="R29" i="21"/>
  <c r="W28" i="21"/>
  <c r="G14" i="22" s="1"/>
  <c r="V28" i="21"/>
  <c r="S28" i="21"/>
  <c r="Q28" i="21"/>
  <c r="P28" i="21"/>
  <c r="O28" i="21"/>
  <c r="T27" i="21"/>
  <c r="R27" i="21"/>
  <c r="T26" i="21"/>
  <c r="R26" i="21"/>
  <c r="T25" i="21"/>
  <c r="R25" i="21"/>
  <c r="W24" i="21"/>
  <c r="G13" i="22" s="1"/>
  <c r="V24" i="21"/>
  <c r="S24" i="21"/>
  <c r="Q24" i="21"/>
  <c r="P24" i="21"/>
  <c r="O24" i="21"/>
  <c r="T23" i="21"/>
  <c r="R23" i="21"/>
  <c r="T22" i="21"/>
  <c r="R22" i="21"/>
  <c r="W21" i="21"/>
  <c r="G11" i="22" s="1"/>
  <c r="V21" i="21"/>
  <c r="S21" i="21"/>
  <c r="Q21" i="21"/>
  <c r="P21" i="21"/>
  <c r="O21" i="21"/>
  <c r="T20" i="21"/>
  <c r="T19" i="21" s="1"/>
  <c r="R20" i="21"/>
  <c r="R19" i="21" s="1"/>
  <c r="W19" i="21"/>
  <c r="G10" i="22" s="1"/>
  <c r="V19" i="21"/>
  <c r="S19" i="21"/>
  <c r="Q19" i="21"/>
  <c r="P19" i="21"/>
  <c r="O19" i="21"/>
  <c r="T18" i="21"/>
  <c r="R18" i="21"/>
  <c r="T17" i="21"/>
  <c r="R17" i="21"/>
  <c r="T16" i="21"/>
  <c r="R16" i="21"/>
  <c r="T15" i="21"/>
  <c r="R15" i="21"/>
  <c r="W14" i="21"/>
  <c r="G9" i="22" s="1"/>
  <c r="V14" i="21"/>
  <c r="S14" i="21"/>
  <c r="Q14" i="21"/>
  <c r="P14" i="21"/>
  <c r="O14" i="21"/>
  <c r="T13" i="21"/>
  <c r="R13" i="21"/>
  <c r="T12" i="21"/>
  <c r="R12" i="21"/>
  <c r="W11" i="21"/>
  <c r="G7" i="22" s="1"/>
  <c r="V11" i="21"/>
  <c r="S11" i="21"/>
  <c r="Q11" i="21"/>
  <c r="P11" i="21"/>
  <c r="O11" i="21"/>
  <c r="T9" i="21"/>
  <c r="R9" i="21"/>
  <c r="T8" i="21"/>
  <c r="R8" i="21"/>
  <c r="T7" i="21"/>
  <c r="R7" i="21"/>
  <c r="X6" i="21"/>
  <c r="W6" i="21"/>
  <c r="V6" i="21"/>
  <c r="S6" i="21"/>
  <c r="Q6" i="21"/>
  <c r="P6" i="21"/>
  <c r="O6" i="21"/>
  <c r="O53" i="21" l="1"/>
  <c r="U71" i="21"/>
  <c r="R44" i="21"/>
  <c r="U63" i="21"/>
  <c r="U69" i="21"/>
  <c r="U94" i="21"/>
  <c r="T44" i="21"/>
  <c r="T6" i="21"/>
  <c r="U18" i="21"/>
  <c r="X18" i="21" s="1"/>
  <c r="R56" i="21"/>
  <c r="P10" i="21"/>
  <c r="P5" i="21" s="1"/>
  <c r="T28" i="21"/>
  <c r="T21" i="21"/>
  <c r="U50" i="21"/>
  <c r="X50" i="21" s="1"/>
  <c r="U62" i="21"/>
  <c r="X62" i="21" s="1"/>
  <c r="U64" i="21"/>
  <c r="X64" i="21" s="1"/>
  <c r="U80" i="21"/>
  <c r="X80" i="21" s="1"/>
  <c r="U82" i="21"/>
  <c r="X82" i="21" s="1"/>
  <c r="U84" i="21"/>
  <c r="X84" i="21" s="1"/>
  <c r="U86" i="21"/>
  <c r="U26" i="21"/>
  <c r="X26" i="21" s="1"/>
  <c r="U51" i="21"/>
  <c r="U90" i="21"/>
  <c r="V90" i="21" s="1"/>
  <c r="U92" i="21"/>
  <c r="U55" i="21"/>
  <c r="U54" i="21" s="1"/>
  <c r="F8" i="22" s="1"/>
  <c r="R28" i="21"/>
  <c r="T11" i="21"/>
  <c r="R77" i="21"/>
  <c r="O10" i="21"/>
  <c r="O5" i="21" s="1"/>
  <c r="U13" i="21"/>
  <c r="X13" i="21" s="1"/>
  <c r="U17" i="21"/>
  <c r="X17" i="21" s="1"/>
  <c r="T39" i="21"/>
  <c r="U27" i="21"/>
  <c r="X27" i="21" s="1"/>
  <c r="U31" i="21"/>
  <c r="X31" i="21" s="1"/>
  <c r="U36" i="21"/>
  <c r="X36" i="21" s="1"/>
  <c r="U38" i="21"/>
  <c r="U57" i="21"/>
  <c r="X57" i="21" s="1"/>
  <c r="U59" i="21"/>
  <c r="X59" i="21" s="1"/>
  <c r="X63" i="21"/>
  <c r="U9" i="21"/>
  <c r="Z9" i="21" s="1"/>
  <c r="T14" i="21"/>
  <c r="T24" i="21"/>
  <c r="T33" i="21"/>
  <c r="U34" i="21"/>
  <c r="X34" i="21" s="1"/>
  <c r="R39" i="21"/>
  <c r="U46" i="21"/>
  <c r="X46" i="21" s="1"/>
  <c r="U48" i="21"/>
  <c r="X48" i="21" s="1"/>
  <c r="R74" i="21"/>
  <c r="U16" i="21"/>
  <c r="X16" i="21" s="1"/>
  <c r="U23" i="21"/>
  <c r="X23" i="21" s="1"/>
  <c r="Z23" i="21" s="1"/>
  <c r="R24" i="21"/>
  <c r="U32" i="21"/>
  <c r="X32" i="21" s="1"/>
  <c r="U35" i="21"/>
  <c r="X35" i="21" s="1"/>
  <c r="R88" i="21"/>
  <c r="S10" i="21"/>
  <c r="S5" i="21" s="1"/>
  <c r="Q10" i="21"/>
  <c r="Q5" i="21" s="1"/>
  <c r="U75" i="21"/>
  <c r="R21" i="21"/>
  <c r="U8" i="21"/>
  <c r="R11" i="21"/>
  <c r="R14" i="21"/>
  <c r="U22" i="21"/>
  <c r="U25" i="21"/>
  <c r="U30" i="21"/>
  <c r="X30" i="21" s="1"/>
  <c r="U37" i="21"/>
  <c r="X37" i="21" s="1"/>
  <c r="U41" i="21"/>
  <c r="U43" i="21"/>
  <c r="U47" i="21"/>
  <c r="U52" i="21"/>
  <c r="U91" i="21"/>
  <c r="W91" i="21" s="1"/>
  <c r="W88" i="21" s="1"/>
  <c r="U58" i="21"/>
  <c r="U60" i="21"/>
  <c r="U76" i="21"/>
  <c r="U79" i="21"/>
  <c r="U81" i="21"/>
  <c r="U83" i="21"/>
  <c r="U87" i="21"/>
  <c r="U85" i="21" s="1"/>
  <c r="U93" i="21"/>
  <c r="X38" i="21"/>
  <c r="U40" i="21"/>
  <c r="U42" i="21"/>
  <c r="U49" i="21"/>
  <c r="U68" i="21"/>
  <c r="U67" i="21" s="1"/>
  <c r="R33" i="21"/>
  <c r="X51" i="21"/>
  <c r="U61" i="21"/>
  <c r="X71" i="21"/>
  <c r="X94" i="21"/>
  <c r="X69" i="21"/>
  <c r="X86" i="21"/>
  <c r="R6" i="21"/>
  <c r="U7" i="21"/>
  <c r="V92" i="21"/>
  <c r="U66" i="21"/>
  <c r="R67" i="21"/>
  <c r="U78" i="21"/>
  <c r="R85" i="21"/>
  <c r="U12" i="21"/>
  <c r="U15" i="21"/>
  <c r="U20" i="21"/>
  <c r="U45" i="21"/>
  <c r="U89" i="21"/>
  <c r="R53" i="21" l="1"/>
  <c r="Z13" i="21"/>
  <c r="Z18" i="21"/>
  <c r="Z82" i="21"/>
  <c r="Z62" i="21"/>
  <c r="U44" i="21"/>
  <c r="Z57" i="21"/>
  <c r="W53" i="21"/>
  <c r="W10" i="21" s="1"/>
  <c r="W5" i="21" s="1"/>
  <c r="G16" i="22"/>
  <c r="G6" i="22" s="1"/>
  <c r="U21" i="21"/>
  <c r="F11" i="22" s="1"/>
  <c r="Z80" i="21"/>
  <c r="Z69" i="21"/>
  <c r="Z64" i="21"/>
  <c r="Z86" i="21"/>
  <c r="Z94" i="21"/>
  <c r="Z63" i="21"/>
  <c r="Z84" i="21"/>
  <c r="Z59" i="21"/>
  <c r="V91" i="21"/>
  <c r="X55" i="21"/>
  <c r="U39" i="21"/>
  <c r="F17" i="22" s="1"/>
  <c r="U56" i="21"/>
  <c r="U24" i="21"/>
  <c r="F13" i="22" s="1"/>
  <c r="T10" i="21"/>
  <c r="T5" i="21" s="1"/>
  <c r="V88" i="21"/>
  <c r="V53" i="21" s="1"/>
  <c r="V10" i="21" s="1"/>
  <c r="V5" i="21" s="1"/>
  <c r="U74" i="21"/>
  <c r="U33" i="21"/>
  <c r="X54" i="21"/>
  <c r="Z36" i="21"/>
  <c r="Z26" i="21"/>
  <c r="X75" i="21"/>
  <c r="F12" i="22"/>
  <c r="X61" i="21"/>
  <c r="X40" i="21"/>
  <c r="Z34" i="21"/>
  <c r="U28" i="21"/>
  <c r="F14" i="22" s="1"/>
  <c r="X68" i="21"/>
  <c r="Z35" i="21"/>
  <c r="X49" i="21"/>
  <c r="Z38" i="21"/>
  <c r="Z27" i="21"/>
  <c r="X87" i="21"/>
  <c r="X79" i="21"/>
  <c r="X41" i="21"/>
  <c r="X22" i="21"/>
  <c r="Z46" i="21"/>
  <c r="X42" i="21"/>
  <c r="X76" i="21"/>
  <c r="X52" i="21"/>
  <c r="Z7" i="21"/>
  <c r="Z6" i="21" s="1"/>
  <c r="Z51" i="21"/>
  <c r="X83" i="21"/>
  <c r="X60" i="21"/>
  <c r="X47" i="21"/>
  <c r="R10" i="21"/>
  <c r="R5" i="21" s="1"/>
  <c r="Z48" i="21"/>
  <c r="Z50" i="21"/>
  <c r="X93" i="21"/>
  <c r="X81" i="21"/>
  <c r="X58" i="21"/>
  <c r="X43" i="21"/>
  <c r="X25" i="21"/>
  <c r="Z17" i="21"/>
  <c r="Z31" i="21"/>
  <c r="Z16" i="21"/>
  <c r="X20" i="21"/>
  <c r="U19" i="21"/>
  <c r="U77" i="21"/>
  <c r="X78" i="21"/>
  <c r="X28" i="21"/>
  <c r="X15" i="21"/>
  <c r="U14" i="21"/>
  <c r="U6" i="21"/>
  <c r="X89" i="21"/>
  <c r="U88" i="21"/>
  <c r="X12" i="21"/>
  <c r="U11" i="21"/>
  <c r="F7" i="22" s="1"/>
  <c r="X45" i="21"/>
  <c r="U65" i="21"/>
  <c r="X66" i="21"/>
  <c r="F15" i="22" l="1"/>
  <c r="Z60" i="21"/>
  <c r="Z61" i="21"/>
  <c r="F9" i="22"/>
  <c r="Z83" i="21"/>
  <c r="Z76" i="21"/>
  <c r="Z79" i="21"/>
  <c r="F10" i="22"/>
  <c r="Z81" i="21"/>
  <c r="X44" i="21"/>
  <c r="Z89" i="21"/>
  <c r="Z24" i="21"/>
  <c r="Z93" i="21"/>
  <c r="Z71" i="21"/>
  <c r="F16" i="22"/>
  <c r="X74" i="21"/>
  <c r="X65" i="21"/>
  <c r="X56" i="21"/>
  <c r="X67" i="21"/>
  <c r="Z75" i="21"/>
  <c r="X21" i="21"/>
  <c r="Z55" i="21"/>
  <c r="Z54" i="21" s="1"/>
  <c r="X85" i="21"/>
  <c r="X39" i="21"/>
  <c r="X77" i="21"/>
  <c r="X24" i="21"/>
  <c r="Z41" i="21"/>
  <c r="Z49" i="21"/>
  <c r="U53" i="21"/>
  <c r="U10" i="21" s="1"/>
  <c r="X88" i="21"/>
  <c r="Z43" i="21"/>
  <c r="Z52" i="21"/>
  <c r="Z37" i="21"/>
  <c r="Z33" i="21" s="1"/>
  <c r="X33" i="21"/>
  <c r="Z42" i="21"/>
  <c r="X11" i="21"/>
  <c r="Z40" i="21"/>
  <c r="X14" i="21"/>
  <c r="Z30" i="21"/>
  <c r="Z28" i="21" s="1"/>
  <c r="H14" i="22" s="1"/>
  <c r="X19" i="21"/>
  <c r="Z88" i="21" l="1"/>
  <c r="X53" i="21"/>
  <c r="Y53" i="21" s="1"/>
  <c r="F6" i="22"/>
  <c r="H12" i="22"/>
  <c r="U5" i="21"/>
  <c r="Z39" i="21"/>
  <c r="H8" i="22"/>
  <c r="X10" i="21"/>
  <c r="Z74" i="21"/>
  <c r="H13" i="22" s="1"/>
  <c r="Z78" i="21"/>
  <c r="Z77" i="21" s="1"/>
  <c r="H15" i="22" s="1"/>
  <c r="Z87" i="21"/>
  <c r="Z85" i="21" s="1"/>
  <c r="Z68" i="21"/>
  <c r="Z67" i="21" s="1"/>
  <c r="Z66" i="21"/>
  <c r="Z65" i="21" s="1"/>
  <c r="Z22" i="21"/>
  <c r="Z21" i="21" s="1"/>
  <c r="Z58" i="21"/>
  <c r="Z56" i="21" s="1"/>
  <c r="Z19" i="21"/>
  <c r="Z14" i="21"/>
  <c r="Z45" i="21"/>
  <c r="Z44" i="21" s="1"/>
  <c r="H16" i="22" s="1"/>
  <c r="Z12" i="21"/>
  <c r="Z11" i="21" s="1"/>
  <c r="Z53" i="21" l="1"/>
  <c r="X5" i="21"/>
  <c r="H10" i="22"/>
  <c r="H7" i="22"/>
  <c r="Z10" i="21"/>
  <c r="H11" i="22"/>
  <c r="Y5" i="21"/>
  <c r="H9" i="22"/>
  <c r="H17" i="22"/>
  <c r="H6" i="22" l="1"/>
  <c r="Z5" i="21"/>
</calcChain>
</file>

<file path=xl/sharedStrings.xml><?xml version="1.0" encoding="utf-8"?>
<sst xmlns="http://schemas.openxmlformats.org/spreadsheetml/2006/main" count="553" uniqueCount="476">
  <si>
    <t>序号</t>
  </si>
  <si>
    <t>市州</t>
  </si>
  <si>
    <t>县市区</t>
  </si>
  <si>
    <t>批复情况</t>
  </si>
  <si>
    <t>备注</t>
  </si>
  <si>
    <t>桥长（米）</t>
  </si>
  <si>
    <t>桥宽（米）</t>
  </si>
  <si>
    <t>新邵县</t>
  </si>
  <si>
    <t>上源渡口</t>
  </si>
  <si>
    <t>龙溪铺镇</t>
  </si>
  <si>
    <t>龙涎河</t>
  </si>
  <si>
    <t>邵阳市</t>
    <phoneticPr fontId="1" type="noConversion"/>
  </si>
  <si>
    <t>零陵区</t>
  </si>
  <si>
    <t>凼底乡</t>
  </si>
  <si>
    <t>桴江</t>
  </si>
  <si>
    <t>道县</t>
  </si>
  <si>
    <t>永明河</t>
  </si>
  <si>
    <t>东安县</t>
  </si>
  <si>
    <t>凉水井渡口</t>
  </si>
  <si>
    <t>C358431102</t>
  </si>
  <si>
    <t>谢家湾渡口</t>
  </si>
  <si>
    <t>舜管局</t>
  </si>
  <si>
    <t>C405431122</t>
  </si>
  <si>
    <t>玉陛源河</t>
  </si>
  <si>
    <t>麻阳县</t>
  </si>
  <si>
    <t>锦江河</t>
  </si>
  <si>
    <t>沅陵县</t>
  </si>
  <si>
    <t>盘古乡</t>
  </si>
  <si>
    <t>常德市</t>
    <phoneticPr fontId="1" type="noConversion"/>
  </si>
  <si>
    <t>永州市</t>
    <phoneticPr fontId="1" type="noConversion"/>
  </si>
  <si>
    <t>怀化市</t>
    <phoneticPr fontId="1" type="noConversion"/>
  </si>
  <si>
    <t>湘潭县</t>
  </si>
  <si>
    <t>大江州渡口</t>
  </si>
  <si>
    <t>龙口乡</t>
  </si>
  <si>
    <t>四级人渡</t>
  </si>
  <si>
    <t>C479</t>
  </si>
  <si>
    <t>涓水</t>
  </si>
  <si>
    <t>岩嘴</t>
  </si>
  <si>
    <t>民间渡口</t>
  </si>
  <si>
    <t>C134</t>
  </si>
  <si>
    <t>杨家河</t>
  </si>
  <si>
    <t>二级人渡</t>
  </si>
  <si>
    <t>双牌县</t>
  </si>
  <si>
    <t>牟江口渡口</t>
  </si>
  <si>
    <t>江村镇</t>
  </si>
  <si>
    <t>汽车渡口</t>
  </si>
  <si>
    <t>C278431129</t>
  </si>
  <si>
    <t>潇水</t>
  </si>
  <si>
    <t>行人渡口</t>
  </si>
  <si>
    <t>泡水河</t>
  </si>
  <si>
    <t>杨家渡口</t>
  </si>
  <si>
    <t>四马桥镇</t>
  </si>
  <si>
    <t>CAW7431124</t>
  </si>
  <si>
    <t>丑溪口溪渡口</t>
  </si>
  <si>
    <t>C564431222</t>
  </si>
  <si>
    <t>丑溪口溪</t>
  </si>
  <si>
    <t>北溶乡</t>
  </si>
  <si>
    <t>C338431222</t>
  </si>
  <si>
    <t>白沙溪</t>
  </si>
  <si>
    <t>高溶坪1渡口</t>
  </si>
  <si>
    <t>沅陵镇</t>
  </si>
  <si>
    <t>C382431222</t>
  </si>
  <si>
    <t>杨武溪</t>
  </si>
  <si>
    <t>舒家村渡口</t>
  </si>
  <si>
    <t>舒家村乡</t>
  </si>
  <si>
    <t>C096431226</t>
  </si>
  <si>
    <t>安化县</t>
  </si>
  <si>
    <t>邵阳县</t>
  </si>
  <si>
    <t>三级人渡</t>
  </si>
  <si>
    <t>双河渡口</t>
  </si>
  <si>
    <t>五峰铺镇</t>
  </si>
  <si>
    <t>VD67430523</t>
  </si>
  <si>
    <t>檀江支流</t>
  </si>
  <si>
    <t>隆回县</t>
  </si>
  <si>
    <t>新兴渡口</t>
  </si>
  <si>
    <t>麻塘山乡</t>
  </si>
  <si>
    <t>C112430524</t>
  </si>
  <si>
    <t>尖山河</t>
  </si>
  <si>
    <t>刘家排渡口</t>
  </si>
  <si>
    <t>羊古坳乡</t>
  </si>
  <si>
    <t>C42I430524</t>
  </si>
  <si>
    <t>四都河</t>
  </si>
  <si>
    <t>星月渡口</t>
  </si>
  <si>
    <t>西洋江镇</t>
  </si>
  <si>
    <t>C534430524</t>
  </si>
  <si>
    <t>西洋江</t>
  </si>
  <si>
    <t>城步县</t>
  </si>
  <si>
    <t>人渡</t>
  </si>
  <si>
    <t>江口渡口</t>
  </si>
  <si>
    <t>威溪乡</t>
  </si>
  <si>
    <t>V011430529</t>
  </si>
  <si>
    <t>威溪水</t>
  </si>
  <si>
    <t>田江渡口</t>
  </si>
  <si>
    <t>小塘镇</t>
  </si>
  <si>
    <t>VF85</t>
  </si>
  <si>
    <t>石马江</t>
  </si>
  <si>
    <t>双江渡口</t>
  </si>
  <si>
    <t>陈家坊镇</t>
  </si>
  <si>
    <t>C462</t>
  </si>
  <si>
    <t>临湘市</t>
  </si>
  <si>
    <t>药菇山林场渡口</t>
  </si>
  <si>
    <t>羊楼司镇</t>
  </si>
  <si>
    <t>一级人渡</t>
  </si>
  <si>
    <t>Z010430682</t>
  </si>
  <si>
    <t>龙源水库</t>
  </si>
  <si>
    <t>岳交农路〔2016〕341号</t>
  </si>
  <si>
    <t>桑植县</t>
  </si>
  <si>
    <t>人行渡口</t>
  </si>
  <si>
    <t>澧水</t>
  </si>
  <si>
    <t>雷公堡渡口</t>
  </si>
  <si>
    <t>长潭坪乡</t>
  </si>
  <si>
    <t>C210430822</t>
  </si>
  <si>
    <t>溇水</t>
  </si>
  <si>
    <t>沙洲渡口</t>
  </si>
  <si>
    <t>河口乡</t>
  </si>
  <si>
    <t>CV92430822</t>
  </si>
  <si>
    <t>朱家沟渡口</t>
  </si>
  <si>
    <t>两河口乡</t>
  </si>
  <si>
    <t>C41A430822</t>
  </si>
  <si>
    <t>马路镇</t>
  </si>
  <si>
    <t>三类</t>
  </si>
  <si>
    <t>V021</t>
  </si>
  <si>
    <t>柘溪水库</t>
  </si>
  <si>
    <t>平口镇</t>
  </si>
  <si>
    <t>CZ05</t>
  </si>
  <si>
    <t>冷水滩区</t>
  </si>
  <si>
    <t>岚江</t>
  </si>
  <si>
    <t>陡角头渡口</t>
  </si>
  <si>
    <t>杨村甸乡</t>
  </si>
  <si>
    <t>C133431103</t>
  </si>
  <si>
    <t>双峰县</t>
  </si>
  <si>
    <t>洋荆渡口</t>
  </si>
  <si>
    <t>112.13310131</t>
  </si>
  <si>
    <t>27.29486132</t>
  </si>
  <si>
    <t>永丰镇</t>
  </si>
  <si>
    <t>C954</t>
  </si>
  <si>
    <t>测水河</t>
  </si>
  <si>
    <t>渡口所在
位置(坐标)</t>
    <phoneticPr fontId="1" type="noConversion"/>
  </si>
  <si>
    <t>所在乡镇</t>
    <phoneticPr fontId="3" type="noConversion"/>
  </si>
  <si>
    <t>路线编码</t>
    <phoneticPr fontId="3" type="noConversion"/>
  </si>
  <si>
    <t>所在河流（水库）</t>
    <phoneticPr fontId="3" type="noConversion"/>
  </si>
  <si>
    <t>地区分类</t>
    <phoneticPr fontId="1" type="noConversion"/>
  </si>
  <si>
    <t>补助标准（元/㎡）</t>
    <phoneticPr fontId="1" type="noConversion"/>
  </si>
  <si>
    <t>测算国省补助资金     （万元）</t>
    <phoneticPr fontId="1" type="noConversion"/>
  </si>
  <si>
    <t>按总投资控制</t>
    <phoneticPr fontId="1" type="noConversion"/>
  </si>
  <si>
    <t>经度（小数点后八位</t>
    <phoneticPr fontId="1" type="noConversion"/>
  </si>
  <si>
    <t>岳阳市</t>
    <phoneticPr fontId="1" type="noConversion"/>
  </si>
  <si>
    <t>娄底市</t>
    <phoneticPr fontId="1" type="noConversion"/>
  </si>
  <si>
    <t>按跨径总长属于中桥</t>
  </si>
  <si>
    <t>大桥</t>
    <phoneticPr fontId="1" type="noConversion"/>
  </si>
  <si>
    <t>1</t>
    <phoneticPr fontId="1" type="noConversion"/>
  </si>
  <si>
    <t>怡溪渡口</t>
  </si>
  <si>
    <t>楠木铺乡</t>
  </si>
  <si>
    <t>C019431222</t>
  </si>
  <si>
    <t>怡溪</t>
  </si>
  <si>
    <t>新晃县</t>
  </si>
  <si>
    <t>姑召水库渡口</t>
  </si>
  <si>
    <t>洞坪乡</t>
  </si>
  <si>
    <t>C025431227</t>
  </si>
  <si>
    <t>姑召水库</t>
  </si>
  <si>
    <t>怀市交批〔2016〕91号</t>
    <phoneticPr fontId="1" type="noConversion"/>
  </si>
  <si>
    <t>怀市交批〔2016〕90号</t>
    <phoneticPr fontId="1" type="noConversion"/>
  </si>
  <si>
    <t>益阳市</t>
    <phoneticPr fontId="1" type="noConversion"/>
  </si>
  <si>
    <t>梁桥</t>
  </si>
  <si>
    <t>国省补助总资金（万元）</t>
    <phoneticPr fontId="1" type="noConversion"/>
  </si>
  <si>
    <t>地方自筹</t>
    <phoneticPr fontId="1" type="noConversion"/>
  </si>
  <si>
    <t>小计</t>
    <phoneticPr fontId="1" type="noConversion"/>
  </si>
  <si>
    <t>文号</t>
    <phoneticPr fontId="1" type="noConversion"/>
  </si>
  <si>
    <t>渡口类型</t>
    <phoneticPr fontId="3" type="noConversion"/>
  </si>
  <si>
    <t>涟源市</t>
  </si>
  <si>
    <t>黄泥渡口</t>
  </si>
  <si>
    <t>桥头河镇</t>
  </si>
  <si>
    <t>CK74</t>
  </si>
  <si>
    <t>湄水河</t>
  </si>
  <si>
    <t>凼底渡口</t>
  </si>
  <si>
    <t>C056431102</t>
  </si>
  <si>
    <t>滑石山渡口</t>
  </si>
  <si>
    <t>邮亭圩镇</t>
  </si>
  <si>
    <t>C007431102</t>
  </si>
  <si>
    <t>黄溪河</t>
  </si>
  <si>
    <t>怀化市</t>
  </si>
  <si>
    <t>白沙溪渡口（朱红溪大桥）</t>
    <phoneticPr fontId="1" type="noConversion"/>
  </si>
  <si>
    <t>总投资  （万元）</t>
    <phoneticPr fontId="1" type="noConversion"/>
  </si>
  <si>
    <t>纬度（小数点后八位）</t>
    <phoneticPr fontId="1" type="noConversion"/>
  </si>
  <si>
    <t>一</t>
    <phoneticPr fontId="1" type="noConversion"/>
  </si>
  <si>
    <t>新开工项目</t>
    <phoneticPr fontId="1" type="noConversion"/>
  </si>
  <si>
    <t>汉寿县</t>
    <phoneticPr fontId="1" type="noConversion"/>
  </si>
  <si>
    <t>周家渡口（五丰渡改桥）</t>
    <phoneticPr fontId="1" type="noConversion"/>
  </si>
  <si>
    <t>毛家滩乡</t>
    <phoneticPr fontId="1" type="noConversion"/>
  </si>
  <si>
    <t>2019年部补助新建桥梁投资计划明细表</t>
    <phoneticPr fontId="3" type="noConversion"/>
  </si>
  <si>
    <t>沧浪河</t>
    <phoneticPr fontId="1" type="noConversion"/>
  </si>
  <si>
    <t>怀市交批〔2017〕1号</t>
    <phoneticPr fontId="1" type="noConversion"/>
  </si>
  <si>
    <t>双溪口渡口</t>
  </si>
  <si>
    <t>CF62431222</t>
  </si>
  <si>
    <t>双溪口溪</t>
  </si>
  <si>
    <t>常交发〔2017〕100号</t>
    <phoneticPr fontId="1" type="noConversion"/>
  </si>
  <si>
    <t>沅交复〔2018〕12号</t>
    <phoneticPr fontId="1" type="noConversion"/>
  </si>
  <si>
    <t>二</t>
    <phoneticPr fontId="1" type="noConversion"/>
  </si>
  <si>
    <t>续建项目</t>
    <phoneticPr fontId="1" type="noConversion"/>
  </si>
  <si>
    <t>郴州市</t>
    <phoneticPr fontId="1" type="noConversion"/>
  </si>
  <si>
    <t>北湖区</t>
    <phoneticPr fontId="1" type="noConversion"/>
  </si>
  <si>
    <t>茅坪大桥</t>
    <phoneticPr fontId="1" type="noConversion"/>
  </si>
  <si>
    <t>宁远县</t>
    <phoneticPr fontId="1" type="noConversion"/>
  </si>
  <si>
    <t>C728</t>
    <phoneticPr fontId="1" type="noConversion"/>
  </si>
  <si>
    <t>攸县</t>
  </si>
  <si>
    <t>涟滩渡口</t>
  </si>
  <si>
    <t>醴陵市</t>
  </si>
  <si>
    <t>双江口渡口</t>
  </si>
  <si>
    <t>网岭镇</t>
  </si>
  <si>
    <t>C431430223</t>
  </si>
  <si>
    <t>攸河</t>
  </si>
  <si>
    <t>李畋镇</t>
  </si>
  <si>
    <t>C116430281</t>
  </si>
  <si>
    <t>澄潭江</t>
  </si>
  <si>
    <t>株交函〔2015〕134号</t>
  </si>
  <si>
    <t>株洲</t>
  </si>
  <si>
    <t>株洲市</t>
    <phoneticPr fontId="1" type="noConversion"/>
  </si>
  <si>
    <t>山禾渡口</t>
  </si>
  <si>
    <t>大新乡</t>
  </si>
  <si>
    <t>C658430522</t>
  </si>
  <si>
    <t>麦子街河</t>
  </si>
  <si>
    <t>合心渡口</t>
  </si>
  <si>
    <t>新田铺镇</t>
  </si>
  <si>
    <t>C413430522</t>
  </si>
  <si>
    <t>石脚渡口</t>
  </si>
  <si>
    <t>C206430522</t>
  </si>
  <si>
    <t>向东渡口</t>
  </si>
  <si>
    <t>C410430522</t>
  </si>
  <si>
    <t>邵市交计统字[2015]227号</t>
  </si>
  <si>
    <t>邵市交计统字 [2016]40号</t>
  </si>
  <si>
    <t>邵市交计统字 [2016]41号</t>
  </si>
  <si>
    <t>邵市交计统字 [2016]42号</t>
  </si>
  <si>
    <t>平江县</t>
  </si>
  <si>
    <t>水口寺渡口</t>
  </si>
  <si>
    <t>三市镇</t>
  </si>
  <si>
    <t>C159</t>
  </si>
  <si>
    <t>汨罗江</t>
  </si>
  <si>
    <t>岳交农路〔2016〕106号</t>
  </si>
  <si>
    <t>汉寿县</t>
  </si>
  <si>
    <t>罗坪</t>
  </si>
  <si>
    <t>朱家铺镇</t>
  </si>
  <si>
    <t>CA89</t>
  </si>
  <si>
    <t>沧浪河</t>
  </si>
  <si>
    <t>桃源县</t>
  </si>
  <si>
    <t>黄石水库渡口</t>
  </si>
  <si>
    <t>黄石镇</t>
  </si>
  <si>
    <t>V000430725</t>
  </si>
  <si>
    <t>黄石库区</t>
  </si>
  <si>
    <t>常交发[2016]13号</t>
  </si>
  <si>
    <t>常交发[2016]31号</t>
  </si>
  <si>
    <t>南县</t>
  </si>
  <si>
    <t>四新渡口</t>
  </si>
  <si>
    <t>明山头镇</t>
  </si>
  <si>
    <t>C141</t>
  </si>
  <si>
    <t>胜天渠</t>
  </si>
  <si>
    <t>银珠潭渡口</t>
  </si>
  <si>
    <t>麻河口镇</t>
  </si>
  <si>
    <t>德和电排渠</t>
  </si>
  <si>
    <t>贞和渡口</t>
  </si>
  <si>
    <t>三仙湖镇</t>
  </si>
  <si>
    <t>CB68</t>
  </si>
  <si>
    <t>文胜渠</t>
  </si>
  <si>
    <t>南交发［2016］11号</t>
  </si>
  <si>
    <t>南交发［2016］12号</t>
  </si>
  <si>
    <t>宜章县</t>
  </si>
  <si>
    <t>新坪山渡口</t>
  </si>
  <si>
    <t>栗源镇</t>
  </si>
  <si>
    <t>虎形-新坪山</t>
  </si>
  <si>
    <t>乐水河</t>
  </si>
  <si>
    <t>苏仙区</t>
  </si>
  <si>
    <t>樟溪水渡口</t>
  </si>
  <si>
    <t>良田镇</t>
  </si>
  <si>
    <t>C254431003</t>
  </si>
  <si>
    <t>樟溪水</t>
  </si>
  <si>
    <t>桂东县</t>
  </si>
  <si>
    <t>上铜锣渡口</t>
  </si>
  <si>
    <t>普乐镇</t>
  </si>
  <si>
    <t>V453431027</t>
  </si>
  <si>
    <t>沤江</t>
  </si>
  <si>
    <t>江永县</t>
  </si>
  <si>
    <t>锦江渡口</t>
  </si>
  <si>
    <t>上江圩镇</t>
  </si>
  <si>
    <t>锦江村</t>
  </si>
  <si>
    <t>C274431125</t>
  </si>
  <si>
    <t>蓝山县</t>
  </si>
  <si>
    <t>水家渡渡口</t>
  </si>
  <si>
    <t>毛俊镇</t>
  </si>
  <si>
    <t>水家渡村</t>
  </si>
  <si>
    <t>C202431127</t>
  </si>
  <si>
    <t>舜水河</t>
  </si>
  <si>
    <t>江华县</t>
  </si>
  <si>
    <t>天堂渡口</t>
  </si>
  <si>
    <t>贝江乡</t>
  </si>
  <si>
    <t>天堂村</t>
  </si>
  <si>
    <t>C317431129</t>
  </si>
  <si>
    <t>涔天河</t>
  </si>
  <si>
    <t>莲塘渡口</t>
  </si>
  <si>
    <t>上关乡</t>
  </si>
  <si>
    <t>莲塘村</t>
  </si>
  <si>
    <t>C765431124</t>
  </si>
  <si>
    <t>牛口河</t>
  </si>
  <si>
    <t>祁阳县</t>
  </si>
  <si>
    <t>荷花红渡口</t>
  </si>
  <si>
    <t>浯溪镇</t>
  </si>
  <si>
    <t>荷花红村</t>
  </si>
  <si>
    <t>C010431121</t>
  </si>
  <si>
    <t>祁水河</t>
  </si>
  <si>
    <t>新化县</t>
  </si>
  <si>
    <t>城皇滩渡口</t>
  </si>
  <si>
    <t>111.16160230</t>
  </si>
  <si>
    <t>27.84547349</t>
  </si>
  <si>
    <t>西河镇</t>
  </si>
  <si>
    <t>天马村</t>
  </si>
  <si>
    <t>C94B</t>
  </si>
  <si>
    <t>天马河</t>
  </si>
  <si>
    <t>河西渡口</t>
  </si>
  <si>
    <t>111.15318450</t>
  </si>
  <si>
    <t>27.87458265</t>
  </si>
  <si>
    <t>沙江村</t>
  </si>
  <si>
    <t>CC50</t>
  </si>
  <si>
    <t>沙江河</t>
  </si>
  <si>
    <t>金鸡峡渡口</t>
  </si>
  <si>
    <t>111.26848484</t>
  </si>
  <si>
    <t>28.15290933</t>
  </si>
  <si>
    <t>大熊山林场</t>
  </si>
  <si>
    <t>金坪工区</t>
  </si>
  <si>
    <t>CA47</t>
  </si>
  <si>
    <t>金鸡峡河</t>
  </si>
  <si>
    <t>飞跃渡口</t>
  </si>
  <si>
    <t>111.28134233</t>
  </si>
  <si>
    <t>28.11746101</t>
  </si>
  <si>
    <t>白溪镇</t>
  </si>
  <si>
    <t>飞跃村</t>
  </si>
  <si>
    <t>C22G</t>
  </si>
  <si>
    <t>鹅溪河</t>
  </si>
  <si>
    <t>中方县</t>
  </si>
  <si>
    <t>梅树渡口</t>
  </si>
  <si>
    <t>丁家乡</t>
  </si>
  <si>
    <t>梅树村</t>
  </si>
  <si>
    <t>C093431221</t>
  </si>
  <si>
    <t>大浦溪</t>
  </si>
  <si>
    <t>辰溪县</t>
  </si>
  <si>
    <t>瓦子场渡口</t>
  </si>
  <si>
    <t>伍家湾乡</t>
  </si>
  <si>
    <t>瓦子场村</t>
  </si>
  <si>
    <t>C033431223</t>
  </si>
  <si>
    <t>瓦子溪</t>
  </si>
  <si>
    <t>大板林溪渡口</t>
  </si>
  <si>
    <t>谭家场乡</t>
  </si>
  <si>
    <t>大板林村</t>
  </si>
  <si>
    <t>C049431223</t>
  </si>
  <si>
    <t>荆竹溪</t>
  </si>
  <si>
    <t>会同县</t>
  </si>
  <si>
    <t>棉花坪渡口</t>
  </si>
  <si>
    <t>林城镇</t>
  </si>
  <si>
    <t>长田村</t>
  </si>
  <si>
    <t>C012431225</t>
  </si>
  <si>
    <t>渠水</t>
  </si>
  <si>
    <t>车头渡口</t>
  </si>
  <si>
    <t>高村镇</t>
  </si>
  <si>
    <t>车头村</t>
  </si>
  <si>
    <t>C009431226</t>
  </si>
  <si>
    <t>豪洛溪</t>
  </si>
  <si>
    <t>建新渡口</t>
  </si>
  <si>
    <t>兴隆镇</t>
  </si>
  <si>
    <t>建新村</t>
  </si>
  <si>
    <t>C023431227</t>
  </si>
  <si>
    <t>平溪</t>
  </si>
  <si>
    <t>坝泗溪渡口</t>
  </si>
  <si>
    <t>红岩村</t>
  </si>
  <si>
    <t>C925431222</t>
  </si>
  <si>
    <t>坝泗溪</t>
  </si>
  <si>
    <t>七家渡口</t>
  </si>
  <si>
    <t>二酉乡</t>
  </si>
  <si>
    <t>七家村</t>
  </si>
  <si>
    <t>C359431222</t>
  </si>
  <si>
    <t>七家溪</t>
  </si>
  <si>
    <t>郴交计基发   [2016]28号</t>
  </si>
  <si>
    <t>苏交批字[2016]7号</t>
  </si>
  <si>
    <t>郴交计基发[2016]29号</t>
  </si>
  <si>
    <t>永交农发     ［2016］25号</t>
  </si>
  <si>
    <t>永交农发     ［2016］27号</t>
  </si>
  <si>
    <t>永交农发     ［2016］16号</t>
  </si>
  <si>
    <t>永交农发     ［2016］8号</t>
  </si>
  <si>
    <t>永交农发     ［2016］19号</t>
  </si>
  <si>
    <t>新交[2016]30号</t>
  </si>
  <si>
    <t>新交[2016]33号</t>
  </si>
  <si>
    <t>新交[2016]34号</t>
  </si>
  <si>
    <t>新交[2016]31号</t>
  </si>
  <si>
    <t>中方交〔2016〕21号</t>
  </si>
  <si>
    <t>辰交计〔2016〕2号</t>
  </si>
  <si>
    <t>辰交计〔2016〕3号</t>
  </si>
  <si>
    <t>怀市交批          〔2016〕11号</t>
  </si>
  <si>
    <t>晃交〔2014〕76号</t>
  </si>
  <si>
    <t>沅交复〔2016〕4号</t>
  </si>
  <si>
    <t>2016年危桥改造计划</t>
    <phoneticPr fontId="1" type="noConversion"/>
  </si>
  <si>
    <t xml:space="preserve">合计 </t>
    <phoneticPr fontId="1" type="noConversion"/>
  </si>
  <si>
    <t>株交函〔2015〕111号</t>
    <phoneticPr fontId="1" type="noConversion"/>
  </si>
  <si>
    <t>宁交发〔2018〕72号</t>
    <phoneticPr fontId="1" type="noConversion"/>
  </si>
  <si>
    <t>川岩桥</t>
    <phoneticPr fontId="1" type="noConversion"/>
  </si>
  <si>
    <t>剩余国省补助资金</t>
    <phoneticPr fontId="1" type="noConversion"/>
  </si>
  <si>
    <t>南交发［2016］10号</t>
    <phoneticPr fontId="1" type="noConversion"/>
  </si>
  <si>
    <t>郴交计基发［2017］186号</t>
    <phoneticPr fontId="1" type="noConversion"/>
  </si>
  <si>
    <t>已下达国省补助资金</t>
    <phoneticPr fontId="1" type="noConversion"/>
  </si>
  <si>
    <t>本次计划下达国省补助资金（万元）</t>
    <phoneticPr fontId="1" type="noConversion"/>
  </si>
  <si>
    <t>麻交计〔2015〕1号</t>
  </si>
  <si>
    <t>序号</t>
    <phoneticPr fontId="1" type="noConversion"/>
  </si>
  <si>
    <t>市州</t>
    <phoneticPr fontId="1" type="noConversion"/>
  </si>
  <si>
    <t>座数</t>
  </si>
  <si>
    <t>备注</t>
    <phoneticPr fontId="1" type="noConversion"/>
  </si>
  <si>
    <t>全省合计</t>
  </si>
  <si>
    <t>邵阳</t>
  </si>
  <si>
    <t>岳阳</t>
  </si>
  <si>
    <t>常德</t>
  </si>
  <si>
    <t>益阳</t>
  </si>
  <si>
    <t>郴州</t>
  </si>
  <si>
    <t>永州</t>
  </si>
  <si>
    <t>怀化</t>
  </si>
  <si>
    <t>娄底</t>
  </si>
  <si>
    <t>2019年部补助新建桥梁投资计划汇总表</t>
    <phoneticPr fontId="1" type="noConversion"/>
  </si>
  <si>
    <t>国省补助资金计划安排情况</t>
    <phoneticPr fontId="1" type="noConversion"/>
  </si>
  <si>
    <t>已下达国省补助资金（万元）</t>
    <phoneticPr fontId="1" type="noConversion"/>
  </si>
  <si>
    <t>三</t>
    <phoneticPr fontId="1" type="noConversion"/>
  </si>
  <si>
    <t>2017年续建项目</t>
    <phoneticPr fontId="1" type="noConversion"/>
  </si>
  <si>
    <t>湘潭市</t>
  </si>
  <si>
    <t>潭交函〔2016〕35号</t>
  </si>
  <si>
    <t>邵阳市</t>
  </si>
  <si>
    <t>邵交字〔2016〕4号</t>
  </si>
  <si>
    <t>隆交字〔2015〕81号</t>
  </si>
  <si>
    <t>邵市交计统字〔2016〕260号</t>
  </si>
  <si>
    <t>隆交字〔2015〕106号</t>
  </si>
  <si>
    <t>城交字〔2016〕118号</t>
  </si>
  <si>
    <t>邵市交计统字〔2016〕136号</t>
  </si>
  <si>
    <t>邵市交计统字〔2016〕233号</t>
  </si>
  <si>
    <t>C37A430522</t>
  </si>
  <si>
    <t>新交字〔2016〕92号</t>
  </si>
  <si>
    <t>岳阳市</t>
  </si>
  <si>
    <t>常德市</t>
  </si>
  <si>
    <t>文蔚渡口</t>
  </si>
  <si>
    <t>洲口</t>
  </si>
  <si>
    <t>C214</t>
  </si>
  <si>
    <t>西湖内江</t>
  </si>
  <si>
    <t>常交发〔2016〕81号</t>
  </si>
  <si>
    <t>槌鼓仑渡口</t>
  </si>
  <si>
    <t>常交发〔2016〕80号</t>
  </si>
  <si>
    <t>张家界</t>
  </si>
  <si>
    <t>桑交字〔2016〕24号</t>
  </si>
  <si>
    <t>益阳市</t>
  </si>
  <si>
    <t>杨桃渡口</t>
  </si>
  <si>
    <t>益交计统〔2016〕452号</t>
  </si>
  <si>
    <t>担柴溪渡口</t>
  </si>
  <si>
    <t>益交计统〔2016〕342号</t>
  </si>
  <si>
    <t>永州市</t>
  </si>
  <si>
    <t>永交农发〔2016〕35号</t>
  </si>
  <si>
    <t>永交农发〔2016〕32号</t>
  </si>
  <si>
    <t>永交农发〔2016〕34号</t>
  </si>
  <si>
    <t>永交农发〔2016〕37号</t>
  </si>
  <si>
    <t>娄底市</t>
  </si>
  <si>
    <t>娄交计〔2016〕226号</t>
  </si>
  <si>
    <t>娄交计〔2016〕171号</t>
  </si>
  <si>
    <t>沅交复〔2016〕21号</t>
  </si>
  <si>
    <t>晃交〔2016〕82号</t>
  </si>
  <si>
    <t>怀市交批〔2016〕92号</t>
  </si>
  <si>
    <t>按跨径总长属中桥</t>
  </si>
  <si>
    <t>桥长桥宽为实际建成后桥长桥宽</t>
    <phoneticPr fontId="1" type="noConversion"/>
  </si>
  <si>
    <t>渡口名称</t>
    <phoneticPr fontId="1" type="noConversion"/>
  </si>
  <si>
    <t>2016年续建项目（2016年渡改桥项目）</t>
    <phoneticPr fontId="1" type="noConversion"/>
  </si>
  <si>
    <t>永交农发〔2016〕55号</t>
  </si>
  <si>
    <t>永交农发〔2016〕44号</t>
  </si>
  <si>
    <t>永交农发〔2016〕49号</t>
  </si>
  <si>
    <t>湘潭</t>
    <phoneticPr fontId="1" type="noConversion"/>
  </si>
  <si>
    <t>张家界</t>
    <phoneticPr fontId="1" type="noConversion"/>
  </si>
  <si>
    <t>桑交字〔2016〕23号</t>
  </si>
  <si>
    <t>桑交字〔2016〕25号</t>
  </si>
  <si>
    <t>附件6-2-5</t>
    <phoneticPr fontId="1" type="noConversion"/>
  </si>
  <si>
    <t>附件6-2-6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</si>
</sst>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);[Red]\(0.0\)"/>
    <numFmt numFmtId="177" formatCode="0.00000000_ "/>
    <numFmt numFmtId="178" formatCode="0_);[Red]\(0\)"/>
    <numFmt numFmtId="179" formatCode="0.00000000_);[Red]\(0.00000000\)"/>
    <numFmt numFmtId="180" formatCode="0.00000000_);\(0.00000000\)"/>
    <numFmt numFmtId="181" formatCode="0.00_ "/>
    <numFmt numFmtId="182" formatCode="0.00_);[Red]\(0.00\)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Helv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  <scheme val="major"/>
    </font>
    <font>
      <sz val="11"/>
      <color indexed="8"/>
      <name val="Tahoma"/>
      <family val="2"/>
      <charset val="134"/>
    </font>
    <font>
      <b/>
      <sz val="16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2" fillId="0" borderId="0"/>
    <xf numFmtId="0" fontId="4" fillId="0" borderId="0" applyProtection="0">
      <alignment vertical="center"/>
    </xf>
    <xf numFmtId="0" fontId="2" fillId="0" borderId="0"/>
    <xf numFmtId="0" fontId="9" fillId="0" borderId="0">
      <alignment vertical="center"/>
    </xf>
    <xf numFmtId="0" fontId="4" fillId="0" borderId="0" applyProtection="0">
      <alignment vertical="center"/>
    </xf>
    <xf numFmtId="0" fontId="2" fillId="0" borderId="0"/>
    <xf numFmtId="0" fontId="4" fillId="0" borderId="0">
      <alignment vertical="center"/>
    </xf>
    <xf numFmtId="0" fontId="4" fillId="0" borderId="0"/>
    <xf numFmtId="0" fontId="2" fillId="0" borderId="0"/>
    <xf numFmtId="0" fontId="4" fillId="0" borderId="0" applyProtection="0">
      <alignment vertical="center"/>
    </xf>
    <xf numFmtId="0" fontId="4" fillId="0" borderId="0"/>
    <xf numFmtId="0" fontId="2" fillId="0" borderId="0"/>
    <xf numFmtId="0" fontId="4" fillId="0" borderId="0"/>
  </cellStyleXfs>
  <cellXfs count="142"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0" fontId="8" fillId="0" borderId="1" xfId="13" applyNumberFormat="1" applyFont="1" applyFill="1" applyBorder="1" applyAlignment="1">
      <alignment horizontal="center" vertical="center" wrapText="1"/>
    </xf>
    <xf numFmtId="0" fontId="8" fillId="0" borderId="1" xfId="1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8" fontId="14" fillId="0" borderId="1" xfId="3" applyNumberFormat="1" applyFont="1" applyFill="1" applyBorder="1" applyAlignment="1">
      <alignment horizontal="center" vertical="center" wrapText="1"/>
    </xf>
    <xf numFmtId="182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 wrapText="1"/>
    </xf>
    <xf numFmtId="178" fontId="11" fillId="0" borderId="0" xfId="0" applyNumberFormat="1" applyFont="1" applyFill="1" applyAlignment="1">
      <alignment horizontal="center" vertical="center" wrapText="1"/>
    </xf>
    <xf numFmtId="178" fontId="11" fillId="0" borderId="0" xfId="0" applyNumberFormat="1" applyFont="1" applyFill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 wrapText="1"/>
    </xf>
    <xf numFmtId="178" fontId="15" fillId="0" borderId="1" xfId="2" applyNumberFormat="1" applyFont="1" applyFill="1" applyBorder="1" applyAlignment="1">
      <alignment horizontal="center" vertical="center" wrapText="1"/>
    </xf>
    <xf numFmtId="182" fontId="14" fillId="0" borderId="1" xfId="2" applyNumberFormat="1" applyFont="1" applyFill="1" applyBorder="1" applyAlignment="1">
      <alignment horizontal="center" vertical="center" wrapText="1"/>
    </xf>
    <xf numFmtId="178" fontId="14" fillId="0" borderId="1" xfId="6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 wrapText="1"/>
    </xf>
    <xf numFmtId="178" fontId="14" fillId="4" borderId="1" xfId="0" applyNumberFormat="1" applyFont="1" applyFill="1" applyBorder="1" applyAlignment="1">
      <alignment horizontal="center" vertical="center" wrapText="1"/>
    </xf>
    <xf numFmtId="178" fontId="14" fillId="4" borderId="1" xfId="3" applyNumberFormat="1" applyFont="1" applyFill="1" applyBorder="1" applyAlignment="1">
      <alignment horizontal="center" vertical="center" wrapText="1"/>
    </xf>
    <xf numFmtId="178" fontId="14" fillId="2" borderId="1" xfId="2" applyNumberFormat="1" applyFont="1" applyFill="1" applyBorder="1" applyAlignment="1">
      <alignment horizontal="center" vertical="center" wrapText="1"/>
    </xf>
    <xf numFmtId="178" fontId="14" fillId="4" borderId="1" xfId="1" applyNumberFormat="1" applyFont="1" applyFill="1" applyBorder="1" applyAlignment="1">
      <alignment horizontal="center" vertical="center" wrapText="1"/>
    </xf>
    <xf numFmtId="178" fontId="14" fillId="4" borderId="1" xfId="5" applyNumberFormat="1" applyFont="1" applyFill="1" applyBorder="1" applyAlignment="1">
      <alignment horizontal="center" vertical="center" wrapText="1"/>
    </xf>
    <xf numFmtId="178" fontId="14" fillId="4" borderId="1" xfId="5" applyNumberFormat="1" applyFont="1" applyFill="1" applyBorder="1" applyAlignment="1" applyProtection="1">
      <alignment horizontal="center" vertical="center" wrapText="1"/>
    </xf>
    <xf numFmtId="178" fontId="14" fillId="4" borderId="1" xfId="7" applyNumberFormat="1" applyFont="1" applyFill="1" applyBorder="1" applyAlignment="1" applyProtection="1">
      <alignment horizontal="center" vertical="center" wrapText="1"/>
    </xf>
    <xf numFmtId="178" fontId="14" fillId="4" borderId="1" xfId="8" applyNumberFormat="1" applyFont="1" applyFill="1" applyBorder="1" applyAlignment="1">
      <alignment horizontal="center" vertical="center" wrapText="1"/>
    </xf>
    <xf numFmtId="178" fontId="14" fillId="4" borderId="1" xfId="14" applyNumberFormat="1" applyFont="1" applyFill="1" applyBorder="1" applyAlignment="1">
      <alignment horizontal="center" vertical="center" wrapText="1"/>
    </xf>
    <xf numFmtId="178" fontId="14" fillId="4" borderId="1" xfId="16" applyNumberFormat="1" applyFont="1" applyFill="1" applyBorder="1" applyAlignment="1">
      <alignment horizontal="center" vertical="center" wrapText="1"/>
    </xf>
    <xf numFmtId="178" fontId="14" fillId="4" borderId="1" xfId="17" applyNumberFormat="1" applyFont="1" applyFill="1" applyBorder="1" applyAlignment="1">
      <alignment horizontal="center" vertical="center" wrapText="1"/>
    </xf>
    <xf numFmtId="178" fontId="14" fillId="4" borderId="1" xfId="7" applyNumberFormat="1" applyFont="1" applyFill="1" applyBorder="1" applyAlignment="1">
      <alignment horizontal="center" vertical="center" wrapText="1"/>
    </xf>
    <xf numFmtId="178" fontId="14" fillId="0" borderId="1" xfId="5" applyNumberFormat="1" applyFont="1" applyFill="1" applyBorder="1" applyAlignment="1">
      <alignment horizontal="center" vertical="center" wrapText="1"/>
    </xf>
    <xf numFmtId="178" fontId="14" fillId="4" borderId="1" xfId="6" applyNumberFormat="1" applyFont="1" applyFill="1" applyBorder="1" applyAlignment="1">
      <alignment horizontal="center" vertical="center" wrapText="1"/>
    </xf>
    <xf numFmtId="178" fontId="14" fillId="0" borderId="1" xfId="7" applyNumberFormat="1" applyFont="1" applyFill="1" applyBorder="1" applyAlignment="1">
      <alignment horizontal="center" vertical="center" wrapText="1"/>
    </xf>
    <xf numFmtId="178" fontId="11" fillId="0" borderId="0" xfId="0" applyNumberFormat="1" applyFont="1" applyAlignment="1">
      <alignment horizontal="center" vertical="center" wrapText="1"/>
    </xf>
    <xf numFmtId="178" fontId="12" fillId="0" borderId="0" xfId="0" applyNumberFormat="1" applyFont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 wrapText="1"/>
    </xf>
    <xf numFmtId="178" fontId="14" fillId="4" borderId="1" xfId="9" applyNumberFormat="1" applyFont="1" applyFill="1" applyBorder="1" applyAlignment="1">
      <alignment horizontal="center" vertical="center" wrapText="1"/>
    </xf>
    <xf numFmtId="178" fontId="8" fillId="0" borderId="0" xfId="0" applyNumberFormat="1" applyFont="1" applyAlignment="1">
      <alignment horizontal="center" vertical="center" wrapText="1"/>
    </xf>
    <xf numFmtId="179" fontId="14" fillId="0" borderId="1" xfId="1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9" fontId="14" fillId="0" borderId="1" xfId="10" applyNumberFormat="1" applyFont="1" applyFill="1" applyBorder="1" applyAlignment="1">
      <alignment horizontal="center" vertical="center" wrapText="1"/>
    </xf>
    <xf numFmtId="179" fontId="14" fillId="2" borderId="1" xfId="6" applyNumberFormat="1" applyFont="1" applyFill="1" applyBorder="1" applyAlignment="1">
      <alignment horizontal="center" vertical="center" wrapText="1"/>
    </xf>
    <xf numFmtId="179" fontId="15" fillId="0" borderId="1" xfId="1" applyNumberFormat="1" applyFont="1" applyFill="1" applyBorder="1" applyAlignment="1">
      <alignment horizontal="center" vertical="center" wrapText="1"/>
    </xf>
    <xf numFmtId="179" fontId="14" fillId="0" borderId="1" xfId="0" applyNumberFormat="1" applyFont="1" applyBorder="1" applyAlignment="1">
      <alignment horizontal="center" vertical="center" wrapText="1"/>
    </xf>
    <xf numFmtId="179" fontId="15" fillId="0" borderId="1" xfId="0" applyNumberFormat="1" applyFont="1" applyBorder="1" applyAlignment="1">
      <alignment horizontal="center" vertical="center" wrapText="1"/>
    </xf>
    <xf numFmtId="179" fontId="14" fillId="0" borderId="1" xfId="3" applyNumberFormat="1" applyFont="1" applyFill="1" applyBorder="1" applyAlignment="1">
      <alignment horizontal="center" vertical="center" wrapText="1"/>
    </xf>
    <xf numFmtId="179" fontId="14" fillId="4" borderId="1" xfId="0" applyNumberFormat="1" applyFont="1" applyFill="1" applyBorder="1" applyAlignment="1">
      <alignment horizontal="center" vertical="center" wrapText="1"/>
    </xf>
    <xf numFmtId="179" fontId="14" fillId="4" borderId="1" xfId="3" applyNumberFormat="1" applyFont="1" applyFill="1" applyBorder="1" applyAlignment="1">
      <alignment horizontal="center" vertical="center" wrapText="1"/>
    </xf>
    <xf numFmtId="179" fontId="14" fillId="0" borderId="1" xfId="2" applyNumberFormat="1" applyFont="1" applyFill="1" applyBorder="1" applyAlignment="1">
      <alignment horizontal="center" vertical="center" wrapText="1"/>
    </xf>
    <xf numFmtId="179" fontId="14" fillId="2" borderId="1" xfId="2" applyNumberFormat="1" applyFont="1" applyFill="1" applyBorder="1" applyAlignment="1">
      <alignment horizontal="center" vertical="center" wrapText="1"/>
    </xf>
    <xf numFmtId="179" fontId="14" fillId="4" borderId="1" xfId="4" applyNumberFormat="1" applyFont="1" applyFill="1" applyBorder="1" applyAlignment="1">
      <alignment horizontal="center" vertical="center" wrapText="1"/>
    </xf>
    <xf numFmtId="179" fontId="14" fillId="4" borderId="1" xfId="7" applyNumberFormat="1" applyFont="1" applyFill="1" applyBorder="1" applyAlignment="1" applyProtection="1">
      <alignment horizontal="center" vertical="center" wrapText="1"/>
    </xf>
    <xf numFmtId="179" fontId="14" fillId="4" borderId="1" xfId="14" applyNumberFormat="1" applyFont="1" applyFill="1" applyBorder="1" applyAlignment="1">
      <alignment horizontal="center" vertical="center" wrapText="1"/>
    </xf>
    <xf numFmtId="179" fontId="14" fillId="4" borderId="1" xfId="10" applyNumberFormat="1" applyFont="1" applyFill="1" applyBorder="1" applyAlignment="1">
      <alignment horizontal="center" vertical="center" wrapText="1"/>
    </xf>
    <xf numFmtId="178" fontId="15" fillId="0" borderId="1" xfId="3" applyNumberFormat="1" applyFont="1" applyFill="1" applyBorder="1" applyAlignment="1">
      <alignment horizontal="center" vertical="center" wrapText="1"/>
    </xf>
    <xf numFmtId="179" fontId="15" fillId="0" borderId="1" xfId="3" applyNumberFormat="1" applyFont="1" applyFill="1" applyBorder="1" applyAlignment="1">
      <alignment horizontal="center" vertical="center" wrapText="1"/>
    </xf>
    <xf numFmtId="0" fontId="5" fillId="0" borderId="0" xfId="18" applyFont="1" applyAlignment="1">
      <alignment vertical="center"/>
    </xf>
    <xf numFmtId="176" fontId="3" fillId="0" borderId="0" xfId="19" applyNumberFormat="1" applyFont="1" applyAlignment="1">
      <alignment horizontal="center" vertical="center" wrapText="1"/>
    </xf>
    <xf numFmtId="176" fontId="5" fillId="0" borderId="1" xfId="20" applyNumberFormat="1" applyFont="1" applyFill="1" applyBorder="1" applyAlignment="1">
      <alignment horizontal="center" vertical="center" wrapText="1"/>
    </xf>
    <xf numFmtId="178" fontId="5" fillId="0" borderId="1" xfId="18" applyNumberFormat="1" applyFont="1" applyBorder="1" applyAlignment="1">
      <alignment horizontal="center" vertical="center"/>
    </xf>
    <xf numFmtId="0" fontId="5" fillId="0" borderId="1" xfId="18" applyFont="1" applyBorder="1" applyAlignment="1">
      <alignment horizontal="center" vertical="center"/>
    </xf>
    <xf numFmtId="0" fontId="3" fillId="0" borderId="0" xfId="19" applyFont="1" applyBorder="1" applyAlignment="1">
      <alignment horizontal="center" vertical="center" wrapText="1"/>
    </xf>
    <xf numFmtId="0" fontId="5" fillId="0" borderId="1" xfId="19" applyFont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 wrapText="1"/>
    </xf>
    <xf numFmtId="178" fontId="8" fillId="0" borderId="1" xfId="2" applyNumberFormat="1" applyFont="1" applyFill="1" applyBorder="1" applyAlignment="1">
      <alignment horizontal="center" vertical="center" wrapText="1"/>
    </xf>
    <xf numFmtId="0" fontId="15" fillId="0" borderId="1" xfId="1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/>
    </xf>
    <xf numFmtId="178" fontId="14" fillId="3" borderId="1" xfId="0" applyNumberFormat="1" applyFont="1" applyFill="1" applyBorder="1" applyAlignment="1">
      <alignment horizontal="center" vertical="center"/>
    </xf>
    <xf numFmtId="182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12" applyNumberFormat="1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horizontal="center" vertical="center" wrapText="1"/>
    </xf>
    <xf numFmtId="0" fontId="14" fillId="0" borderId="1" xfId="3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182" fontId="15" fillId="0" borderId="1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/>
    </xf>
    <xf numFmtId="0" fontId="14" fillId="0" borderId="1" xfId="13" applyFont="1" applyFill="1" applyBorder="1" applyAlignment="1">
      <alignment horizontal="center" vertical="center" wrapText="1"/>
    </xf>
    <xf numFmtId="0" fontId="14" fillId="0" borderId="1" xfId="13" applyNumberFormat="1" applyFont="1" applyFill="1" applyBorder="1" applyAlignment="1">
      <alignment horizontal="center" vertical="center" wrapText="1"/>
    </xf>
    <xf numFmtId="0" fontId="15" fillId="0" borderId="1" xfId="13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0" fontId="15" fillId="0" borderId="1" xfId="13" applyNumberFormat="1" applyFont="1" applyFill="1" applyBorder="1" applyAlignment="1">
      <alignment horizontal="center" vertical="center" wrapText="1"/>
    </xf>
    <xf numFmtId="179" fontId="14" fillId="0" borderId="1" xfId="3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180" fontId="14" fillId="0" borderId="1" xfId="2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49" fontId="14" fillId="0" borderId="1" xfId="6" applyNumberFormat="1" applyFont="1" applyFill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 wrapText="1"/>
    </xf>
    <xf numFmtId="0" fontId="14" fillId="0" borderId="1" xfId="5" applyNumberFormat="1" applyFont="1" applyFill="1" applyBorder="1" applyAlignment="1">
      <alignment horizontal="center" vertical="center" wrapText="1"/>
    </xf>
    <xf numFmtId="0" fontId="14" fillId="0" borderId="1" xfId="14" applyFont="1" applyFill="1" applyBorder="1" applyAlignment="1">
      <alignment horizontal="center" vertical="center" wrapText="1"/>
    </xf>
    <xf numFmtId="178" fontId="14" fillId="0" borderId="1" xfId="14" applyNumberFormat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4" fillId="2" borderId="1" xfId="7" applyFont="1" applyFill="1" applyBorder="1" applyAlignment="1" applyProtection="1">
      <alignment horizontal="center" vertical="center" wrapText="1"/>
    </xf>
    <xf numFmtId="0" fontId="14" fillId="2" borderId="1" xfId="9" applyNumberFormat="1" applyFont="1" applyFill="1" applyBorder="1" applyAlignment="1">
      <alignment horizontal="center" vertical="center"/>
    </xf>
    <xf numFmtId="179" fontId="14" fillId="2" borderId="1" xfId="0" applyNumberFormat="1" applyFont="1" applyFill="1" applyBorder="1" applyAlignment="1">
      <alignment horizontal="center" vertical="center"/>
    </xf>
    <xf numFmtId="0" fontId="14" fillId="2" borderId="1" xfId="6" applyNumberFormat="1" applyFont="1" applyFill="1" applyBorder="1" applyAlignment="1">
      <alignment horizontal="center" vertical="center"/>
    </xf>
    <xf numFmtId="49" fontId="14" fillId="2" borderId="1" xfId="6" applyNumberFormat="1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8" applyNumberFormat="1" applyFont="1" applyFill="1" applyBorder="1" applyAlignment="1">
      <alignment horizontal="center" vertical="center" wrapText="1"/>
    </xf>
    <xf numFmtId="0" fontId="14" fillId="2" borderId="1" xfId="5" applyNumberFormat="1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82" fontId="14" fillId="2" borderId="1" xfId="0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181" fontId="15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6" fontId="14" fillId="0" borderId="1" xfId="2" applyNumberFormat="1" applyFont="1" applyFill="1" applyBorder="1" applyAlignment="1">
      <alignment horizontal="center" vertical="center" wrapText="1"/>
    </xf>
    <xf numFmtId="0" fontId="4" fillId="0" borderId="0" xfId="18" applyFont="1" applyAlignment="1">
      <alignment vertical="center"/>
    </xf>
    <xf numFmtId="0" fontId="17" fillId="0" borderId="0" xfId="0" applyFont="1">
      <alignment vertical="center"/>
    </xf>
    <xf numFmtId="178" fontId="18" fillId="0" borderId="1" xfId="0" applyNumberFormat="1" applyFont="1" applyFill="1" applyBorder="1" applyAlignment="1">
      <alignment horizontal="center" vertical="center" wrapText="1"/>
    </xf>
    <xf numFmtId="178" fontId="14" fillId="0" borderId="1" xfId="1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8" fontId="14" fillId="0" borderId="1" xfId="2" applyNumberFormat="1" applyFont="1" applyFill="1" applyBorder="1" applyAlignment="1">
      <alignment horizontal="center" vertical="center" wrapText="1"/>
    </xf>
    <xf numFmtId="178" fontId="15" fillId="0" borderId="1" xfId="1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2" fontId="11" fillId="0" borderId="0" xfId="0" applyNumberFormat="1" applyFont="1" applyFill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5" fillId="0" borderId="1" xfId="18" applyFont="1" applyBorder="1" applyAlignment="1">
      <alignment horizontal="center" vertical="center"/>
    </xf>
    <xf numFmtId="178" fontId="5" fillId="0" borderId="1" xfId="18" applyNumberFormat="1" applyFont="1" applyBorder="1" applyAlignment="1">
      <alignment horizontal="left" vertical="center" wrapText="1"/>
    </xf>
    <xf numFmtId="176" fontId="5" fillId="0" borderId="2" xfId="20" applyNumberFormat="1" applyFont="1" applyFill="1" applyBorder="1" applyAlignment="1">
      <alignment horizontal="center" vertical="center" wrapText="1"/>
    </xf>
    <xf numFmtId="176" fontId="5" fillId="0" borderId="4" xfId="20" applyNumberFormat="1" applyFont="1" applyFill="1" applyBorder="1" applyAlignment="1">
      <alignment horizontal="center" vertical="center" wrapText="1"/>
    </xf>
    <xf numFmtId="176" fontId="5" fillId="0" borderId="3" xfId="20" applyNumberFormat="1" applyFont="1" applyFill="1" applyBorder="1" applyAlignment="1">
      <alignment horizontal="center" vertical="center" wrapText="1"/>
    </xf>
    <xf numFmtId="0" fontId="16" fillId="0" borderId="0" xfId="19" applyFont="1" applyAlignment="1">
      <alignment horizontal="center" vertical="center" wrapText="1"/>
    </xf>
    <xf numFmtId="0" fontId="3" fillId="0" borderId="0" xfId="19" applyFont="1" applyBorder="1" applyAlignment="1">
      <alignment horizontal="center" vertical="center" wrapText="1"/>
    </xf>
    <xf numFmtId="0" fontId="5" fillId="0" borderId="1" xfId="19" applyFont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 wrapText="1"/>
    </xf>
    <xf numFmtId="178" fontId="10" fillId="0" borderId="0" xfId="1" applyNumberFormat="1" applyFont="1" applyFill="1" applyAlignment="1">
      <alignment horizontal="center" vertical="center" wrapText="1"/>
    </xf>
    <xf numFmtId="178" fontId="14" fillId="0" borderId="1" xfId="1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8" fontId="14" fillId="0" borderId="1" xfId="2" applyNumberFormat="1" applyFont="1" applyFill="1" applyBorder="1" applyAlignment="1">
      <alignment horizontal="center" vertical="center" wrapText="1"/>
    </xf>
    <xf numFmtId="178" fontId="15" fillId="0" borderId="1" xfId="1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Alignment="1">
      <alignment horizontal="left" vertical="center"/>
    </xf>
  </cellXfs>
  <cellStyles count="21">
    <cellStyle name="常规" xfId="0" builtinId="0"/>
    <cellStyle name="常规 14" xfId="18"/>
    <cellStyle name="常规 27" xfId="12"/>
    <cellStyle name="常规 34_Sheet1_Sheet2" xfId="9"/>
    <cellStyle name="常规 34_附表2" xfId="17"/>
    <cellStyle name="常规 4" xfId="11"/>
    <cellStyle name="常规 5" xfId="3"/>
    <cellStyle name="常规 7" xfId="15"/>
    <cellStyle name="常规_（市公路局）2013年8月交通建设项目月报表" xfId="1"/>
    <cellStyle name="常规_（市公路局）2013年8月交通建设项目月报表 2" xfId="19"/>
    <cellStyle name="常规_2016年渡改桥国省补助资金计划申报表" xfId="4"/>
    <cellStyle name="常规_Sheet1" xfId="6"/>
    <cellStyle name="常规_Sheet1_1" xfId="14"/>
    <cellStyle name="常规_Sheet1_附表2" xfId="16"/>
    <cellStyle name="常规_Sheet2" xfId="7"/>
    <cellStyle name="常规_Sheet2_1" xfId="10"/>
    <cellStyle name="常规_渡改桥" xfId="5"/>
    <cellStyle name="常规_附表2" xfId="8"/>
    <cellStyle name="常规_全省明细" xfId="13"/>
    <cellStyle name="常规_通达工程西部计划2003-11-20" xfId="2"/>
    <cellStyle name="常规_通达工程西部计划2003-11-20 2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10" sqref="B10"/>
    </sheetView>
  </sheetViews>
  <sheetFormatPr defaultRowHeight="13.5"/>
  <cols>
    <col min="1" max="1" width="9" style="117" customWidth="1"/>
    <col min="2" max="2" width="13.75" style="117" customWidth="1"/>
    <col min="3" max="5" width="12.875" style="117" customWidth="1"/>
    <col min="6" max="6" width="15.125" style="117" customWidth="1"/>
    <col min="7" max="7" width="16.75" style="117" customWidth="1"/>
    <col min="8" max="8" width="18" style="117" customWidth="1"/>
    <col min="9" max="9" width="8.75" style="117" customWidth="1"/>
    <col min="10" max="16384" width="9" style="117"/>
  </cols>
  <sheetData>
    <row r="1" spans="1:9" ht="14.25">
      <c r="A1" s="60" t="s">
        <v>474</v>
      </c>
      <c r="B1" s="116"/>
      <c r="C1" s="116"/>
      <c r="D1" s="116"/>
      <c r="E1" s="116"/>
      <c r="F1" s="116"/>
      <c r="G1" s="116"/>
      <c r="H1" s="116"/>
      <c r="I1" s="116"/>
    </row>
    <row r="2" spans="1:9" ht="20.25">
      <c r="A2" s="132" t="s">
        <v>419</v>
      </c>
      <c r="B2" s="132"/>
      <c r="C2" s="132"/>
      <c r="D2" s="132"/>
      <c r="E2" s="132"/>
      <c r="F2" s="132"/>
      <c r="G2" s="132"/>
      <c r="H2" s="132"/>
      <c r="I2" s="132"/>
    </row>
    <row r="3" spans="1:9">
      <c r="A3" s="133"/>
      <c r="B3" s="133"/>
      <c r="C3" s="133"/>
      <c r="D3" s="133"/>
      <c r="E3" s="133"/>
      <c r="F3" s="61"/>
      <c r="G3" s="61"/>
      <c r="H3" s="61"/>
      <c r="I3" s="65"/>
    </row>
    <row r="4" spans="1:9" ht="22.5" customHeight="1">
      <c r="A4" s="134" t="s">
        <v>406</v>
      </c>
      <c r="B4" s="134" t="s">
        <v>407</v>
      </c>
      <c r="C4" s="135" t="s">
        <v>408</v>
      </c>
      <c r="D4" s="135"/>
      <c r="E4" s="135"/>
      <c r="F4" s="129" t="s">
        <v>420</v>
      </c>
      <c r="G4" s="130"/>
      <c r="H4" s="131"/>
      <c r="I4" s="134" t="s">
        <v>409</v>
      </c>
    </row>
    <row r="5" spans="1:9" ht="32.25" customHeight="1">
      <c r="A5" s="134"/>
      <c r="B5" s="134"/>
      <c r="C5" s="66" t="s">
        <v>166</v>
      </c>
      <c r="D5" s="66" t="s">
        <v>198</v>
      </c>
      <c r="E5" s="67" t="s">
        <v>185</v>
      </c>
      <c r="F5" s="62" t="s">
        <v>164</v>
      </c>
      <c r="G5" s="68" t="s">
        <v>421</v>
      </c>
      <c r="H5" s="68" t="s">
        <v>404</v>
      </c>
      <c r="I5" s="134"/>
    </row>
    <row r="6" spans="1:9" ht="30" customHeight="1">
      <c r="A6" s="127" t="s">
        <v>410</v>
      </c>
      <c r="B6" s="127"/>
      <c r="C6" s="63">
        <f t="shared" ref="C6:D6" si="0">SUM(C7:C17)</f>
        <v>68</v>
      </c>
      <c r="D6" s="63">
        <f t="shared" si="0"/>
        <v>65</v>
      </c>
      <c r="E6" s="63">
        <f>SUM(E7:E17)</f>
        <v>3</v>
      </c>
      <c r="F6" s="63">
        <f>SUM(F7:F17)</f>
        <v>17083.400999999998</v>
      </c>
      <c r="G6" s="63">
        <f t="shared" ref="G6:H6" si="1">SUM(G7:G17)</f>
        <v>8489.5</v>
      </c>
      <c r="H6" s="63">
        <f t="shared" si="1"/>
        <v>4800</v>
      </c>
      <c r="I6" s="128"/>
    </row>
    <row r="7" spans="1:9" ht="30" customHeight="1">
      <c r="A7" s="64">
        <v>1</v>
      </c>
      <c r="B7" s="64" t="s">
        <v>215</v>
      </c>
      <c r="C7" s="63">
        <f>D7+E7</f>
        <v>2</v>
      </c>
      <c r="D7" s="63">
        <v>2</v>
      </c>
      <c r="E7" s="63"/>
      <c r="F7" s="63">
        <f>明细表!U11</f>
        <v>550.73399999999992</v>
      </c>
      <c r="G7" s="63">
        <f>明细表!W11</f>
        <v>276</v>
      </c>
      <c r="H7" s="63">
        <f>明细表!Z11</f>
        <v>129</v>
      </c>
      <c r="I7" s="128"/>
    </row>
    <row r="8" spans="1:9" ht="30" customHeight="1">
      <c r="A8" s="64">
        <v>2</v>
      </c>
      <c r="B8" s="64" t="s">
        <v>470</v>
      </c>
      <c r="C8" s="63">
        <f t="shared" ref="C8:C17" si="2">D8+E8</f>
        <v>1</v>
      </c>
      <c r="D8" s="63">
        <v>1</v>
      </c>
      <c r="E8" s="63"/>
      <c r="F8" s="63">
        <f>明细表!U54</f>
        <v>370</v>
      </c>
      <c r="G8" s="63">
        <f>明细表!W54</f>
        <v>232</v>
      </c>
      <c r="H8" s="63">
        <f>明细表!Z54</f>
        <v>65</v>
      </c>
      <c r="I8" s="128"/>
    </row>
    <row r="9" spans="1:9" ht="30" customHeight="1">
      <c r="A9" s="64">
        <v>3</v>
      </c>
      <c r="B9" s="64" t="s">
        <v>411</v>
      </c>
      <c r="C9" s="63">
        <f t="shared" si="2"/>
        <v>12</v>
      </c>
      <c r="D9" s="63">
        <f>4+8</f>
        <v>12</v>
      </c>
      <c r="E9" s="63"/>
      <c r="F9" s="63">
        <f>明细表!U14+明细表!U56</f>
        <v>1731.172</v>
      </c>
      <c r="G9" s="63">
        <f>明细表!W14+明细表!W56</f>
        <v>901.5</v>
      </c>
      <c r="H9" s="63">
        <f>明细表!Z14+明细表!Z56</f>
        <v>391</v>
      </c>
      <c r="I9" s="128"/>
    </row>
    <row r="10" spans="1:9" ht="30" customHeight="1">
      <c r="A10" s="64">
        <v>4</v>
      </c>
      <c r="B10" s="64" t="s">
        <v>412</v>
      </c>
      <c r="C10" s="63">
        <f t="shared" si="2"/>
        <v>2</v>
      </c>
      <c r="D10" s="63">
        <f>1+1</f>
        <v>2</v>
      </c>
      <c r="E10" s="63"/>
      <c r="F10" s="63">
        <f>明细表!U19+明细表!U65</f>
        <v>1345.7660000000001</v>
      </c>
      <c r="G10" s="63">
        <f>明细表!W19+明细表!W65</f>
        <v>673.5</v>
      </c>
      <c r="H10" s="63">
        <f>明细表!Z19+明细表!Z65</f>
        <v>316</v>
      </c>
      <c r="I10" s="128"/>
    </row>
    <row r="11" spans="1:9" ht="30" customHeight="1">
      <c r="A11" s="64">
        <v>5</v>
      </c>
      <c r="B11" s="64" t="s">
        <v>413</v>
      </c>
      <c r="C11" s="63">
        <f t="shared" si="2"/>
        <v>5</v>
      </c>
      <c r="D11" s="63">
        <f>2+2</f>
        <v>4</v>
      </c>
      <c r="E11" s="63">
        <v>1</v>
      </c>
      <c r="F11" s="63">
        <f>明细表!U21+明细表!U7+明细表!U67</f>
        <v>1463.1039999999998</v>
      </c>
      <c r="G11" s="63">
        <f>明细表!W21+明细表!W67</f>
        <v>723.5</v>
      </c>
      <c r="H11" s="63">
        <f>明细表!Z21+明细表!Z7+明细表!Z67</f>
        <v>348</v>
      </c>
      <c r="I11" s="128"/>
    </row>
    <row r="12" spans="1:9" ht="30" customHeight="1">
      <c r="A12" s="64">
        <v>6</v>
      </c>
      <c r="B12" s="64" t="s">
        <v>471</v>
      </c>
      <c r="C12" s="63">
        <f t="shared" si="2"/>
        <v>3</v>
      </c>
      <c r="D12" s="63">
        <v>3</v>
      </c>
      <c r="E12" s="63"/>
      <c r="F12" s="63">
        <f>明细表!U70</f>
        <v>549</v>
      </c>
      <c r="G12" s="63">
        <f>明细表!W70</f>
        <v>275</v>
      </c>
      <c r="H12" s="63">
        <f>明细表!Z70</f>
        <v>129</v>
      </c>
      <c r="I12" s="128"/>
    </row>
    <row r="13" spans="1:9" ht="30" customHeight="1">
      <c r="A13" s="64">
        <v>7</v>
      </c>
      <c r="B13" s="64" t="s">
        <v>414</v>
      </c>
      <c r="C13" s="63">
        <f t="shared" si="2"/>
        <v>5</v>
      </c>
      <c r="D13" s="63">
        <f>3+2</f>
        <v>5</v>
      </c>
      <c r="E13" s="63"/>
      <c r="F13" s="63">
        <f>明细表!U24+明细表!U74</f>
        <v>986.5</v>
      </c>
      <c r="G13" s="63">
        <f>明细表!W24+明细表!W74</f>
        <v>494</v>
      </c>
      <c r="H13" s="63">
        <f>明细表!Z24+明细表!Z74</f>
        <v>232</v>
      </c>
      <c r="I13" s="128"/>
    </row>
    <row r="14" spans="1:9" ht="30" customHeight="1">
      <c r="A14" s="64">
        <v>8</v>
      </c>
      <c r="B14" s="64" t="s">
        <v>415</v>
      </c>
      <c r="C14" s="63">
        <f t="shared" si="2"/>
        <v>4</v>
      </c>
      <c r="D14" s="63">
        <v>4</v>
      </c>
      <c r="E14" s="63"/>
      <c r="F14" s="63">
        <f>明细表!U28</f>
        <v>814.09400000000005</v>
      </c>
      <c r="G14" s="63">
        <f>明细表!W28</f>
        <v>326</v>
      </c>
      <c r="H14" s="63">
        <f>明细表!Z28</f>
        <v>349</v>
      </c>
      <c r="I14" s="128"/>
    </row>
    <row r="15" spans="1:9" ht="30" customHeight="1">
      <c r="A15" s="64">
        <v>9</v>
      </c>
      <c r="B15" s="64" t="s">
        <v>416</v>
      </c>
      <c r="C15" s="63">
        <f t="shared" si="2"/>
        <v>13</v>
      </c>
      <c r="D15" s="63">
        <f>5+7</f>
        <v>12</v>
      </c>
      <c r="E15" s="63">
        <v>1</v>
      </c>
      <c r="F15" s="63">
        <f>明细表!U33+明细表!U9+明细表!U77</f>
        <v>2844.8729999999996</v>
      </c>
      <c r="G15" s="63">
        <f>明细表!W33+明细表!W77</f>
        <v>1428</v>
      </c>
      <c r="H15" s="63">
        <f>明细表!Z33+明细表!Z9+明细表!Z77</f>
        <v>668</v>
      </c>
      <c r="I15" s="128"/>
    </row>
    <row r="16" spans="1:9" ht="30" customHeight="1">
      <c r="A16" s="64">
        <v>10</v>
      </c>
      <c r="B16" s="64" t="s">
        <v>417</v>
      </c>
      <c r="C16" s="63">
        <f t="shared" si="2"/>
        <v>15</v>
      </c>
      <c r="D16" s="63">
        <f>8+6</f>
        <v>14</v>
      </c>
      <c r="E16" s="63">
        <v>1</v>
      </c>
      <c r="F16" s="63">
        <f>明细表!U44+明细表!U8+明细表!U88</f>
        <v>5385.4679999999998</v>
      </c>
      <c r="G16" s="63">
        <f>明细表!W44+明细表!W88</f>
        <v>2643</v>
      </c>
      <c r="H16" s="63">
        <f>明细表!Z44+明细表!Z88</f>
        <v>1785</v>
      </c>
      <c r="I16" s="128"/>
    </row>
    <row r="17" spans="1:9" ht="30" customHeight="1">
      <c r="A17" s="64">
        <v>11</v>
      </c>
      <c r="B17" s="64" t="s">
        <v>418</v>
      </c>
      <c r="C17" s="63">
        <f t="shared" si="2"/>
        <v>6</v>
      </c>
      <c r="D17" s="63">
        <f>4+2</f>
        <v>6</v>
      </c>
      <c r="E17" s="63"/>
      <c r="F17" s="63">
        <f>明细表!U39+明细表!U85</f>
        <v>1042.69</v>
      </c>
      <c r="G17" s="63">
        <f>明细表!W39+明细表!W85</f>
        <v>517</v>
      </c>
      <c r="H17" s="63">
        <f>明细表!Z39+明细表!Z8+明细表!Z85</f>
        <v>388</v>
      </c>
      <c r="I17" s="128"/>
    </row>
    <row r="18" spans="1:9" ht="14.25">
      <c r="A18" s="116"/>
      <c r="B18" s="116"/>
      <c r="C18" s="116"/>
      <c r="D18" s="116"/>
      <c r="E18" s="116"/>
      <c r="F18" s="116"/>
      <c r="G18" s="116"/>
      <c r="H18" s="116"/>
      <c r="I18" s="116"/>
    </row>
  </sheetData>
  <mergeCells count="9">
    <mergeCell ref="A6:B6"/>
    <mergeCell ref="I6:I17"/>
    <mergeCell ref="F4:H4"/>
    <mergeCell ref="A2:I2"/>
    <mergeCell ref="A3:E3"/>
    <mergeCell ref="A4:A5"/>
    <mergeCell ref="B4:B5"/>
    <mergeCell ref="C4:E4"/>
    <mergeCell ref="I4:I5"/>
  </mergeCells>
  <phoneticPr fontId="1" type="noConversion"/>
  <printOptions horizontalCentered="1"/>
  <pageMargins left="0.70866141732283472" right="0.70866141732283472" top="0.6" bottom="0.5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"/>
  <sheetViews>
    <sheetView tabSelected="1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I7" sqref="I7"/>
    </sheetView>
  </sheetViews>
  <sheetFormatPr defaultRowHeight="13.5"/>
  <cols>
    <col min="1" max="1" width="4.25" style="14" customWidth="1"/>
    <col min="2" max="2" width="6.125" style="14" customWidth="1"/>
    <col min="3" max="3" width="7.25" style="14" customWidth="1"/>
    <col min="4" max="4" width="11.125" style="14" customWidth="1"/>
    <col min="5" max="5" width="14.25" style="14" hidden="1" customWidth="1"/>
    <col min="6" max="6" width="13.5" style="14" hidden="1" customWidth="1"/>
    <col min="7" max="7" width="7" style="12" customWidth="1"/>
    <col min="8" max="8" width="7" style="12" hidden="1" customWidth="1"/>
    <col min="9" max="9" width="11.125" style="12" customWidth="1"/>
    <col min="10" max="10" width="8" style="12" customWidth="1"/>
    <col min="11" max="11" width="9.625" style="12" hidden="1" customWidth="1"/>
    <col min="12" max="12" width="8.875" style="14" customWidth="1"/>
    <col min="13" max="13" width="6.375" style="14" customWidth="1"/>
    <col min="14" max="14" width="11.25" style="14" customWidth="1"/>
    <col min="15" max="15" width="9.125" style="14" customWidth="1"/>
    <col min="16" max="16" width="4.875" style="14" hidden="1" customWidth="1"/>
    <col min="17" max="17" width="9.25" style="14" hidden="1" customWidth="1"/>
    <col min="18" max="18" width="11.125" style="14" hidden="1" customWidth="1"/>
    <col min="19" max="19" width="7.5" style="14" hidden="1" customWidth="1"/>
    <col min="20" max="20" width="11.5" style="14" hidden="1" customWidth="1"/>
    <col min="21" max="21" width="8.375" style="14" customWidth="1"/>
    <col min="22" max="22" width="9.125" style="14" hidden="1" customWidth="1"/>
    <col min="23" max="23" width="8.875" style="14" customWidth="1"/>
    <col min="24" max="24" width="11.125" style="14" hidden="1" customWidth="1"/>
    <col min="25" max="25" width="11.125" style="125" hidden="1" customWidth="1"/>
    <col min="26" max="26" width="9.375" style="14" customWidth="1"/>
    <col min="27" max="27" width="8.25" style="13" customWidth="1"/>
    <col min="28" max="16384" width="9" style="15"/>
  </cols>
  <sheetData>
    <row r="1" spans="1:27">
      <c r="A1" s="141" t="s">
        <v>475</v>
      </c>
      <c r="B1" s="141"/>
    </row>
    <row r="2" spans="1:27" ht="33" customHeight="1">
      <c r="A2" s="136" t="s">
        <v>189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</row>
    <row r="3" spans="1:27" s="37" customFormat="1" ht="39.75" customHeight="1">
      <c r="A3" s="137" t="s">
        <v>0</v>
      </c>
      <c r="B3" s="137" t="s">
        <v>1</v>
      </c>
      <c r="C3" s="137" t="s">
        <v>2</v>
      </c>
      <c r="D3" s="137" t="s">
        <v>465</v>
      </c>
      <c r="E3" s="137" t="s">
        <v>137</v>
      </c>
      <c r="F3" s="137"/>
      <c r="G3" s="138" t="s">
        <v>138</v>
      </c>
      <c r="H3" s="138" t="s">
        <v>168</v>
      </c>
      <c r="I3" s="138" t="s">
        <v>139</v>
      </c>
      <c r="J3" s="138" t="s">
        <v>140</v>
      </c>
      <c r="K3" s="138" t="s">
        <v>149</v>
      </c>
      <c r="L3" s="139" t="s">
        <v>3</v>
      </c>
      <c r="M3" s="139"/>
      <c r="N3" s="139"/>
      <c r="O3" s="139"/>
      <c r="P3" s="139" t="s">
        <v>141</v>
      </c>
      <c r="Q3" s="139" t="s">
        <v>142</v>
      </c>
      <c r="R3" s="139" t="s">
        <v>143</v>
      </c>
      <c r="S3" s="139" t="s">
        <v>144</v>
      </c>
      <c r="T3" s="139" t="s">
        <v>143</v>
      </c>
      <c r="U3" s="139" t="s">
        <v>164</v>
      </c>
      <c r="V3" s="139" t="s">
        <v>165</v>
      </c>
      <c r="W3" s="139" t="s">
        <v>403</v>
      </c>
      <c r="X3" s="139" t="s">
        <v>400</v>
      </c>
      <c r="Y3" s="18"/>
      <c r="Z3" s="139" t="s">
        <v>404</v>
      </c>
      <c r="AA3" s="137" t="s">
        <v>4</v>
      </c>
    </row>
    <row r="4" spans="1:27" s="37" customFormat="1" ht="32.25" customHeight="1">
      <c r="A4" s="137"/>
      <c r="B4" s="137"/>
      <c r="C4" s="137"/>
      <c r="D4" s="137"/>
      <c r="E4" s="119" t="s">
        <v>145</v>
      </c>
      <c r="F4" s="119" t="s">
        <v>183</v>
      </c>
      <c r="G4" s="138"/>
      <c r="H4" s="138"/>
      <c r="I4" s="138"/>
      <c r="J4" s="138"/>
      <c r="K4" s="138"/>
      <c r="L4" s="121" t="s">
        <v>5</v>
      </c>
      <c r="M4" s="121" t="s">
        <v>6</v>
      </c>
      <c r="N4" s="121" t="s">
        <v>167</v>
      </c>
      <c r="O4" s="121" t="s">
        <v>182</v>
      </c>
      <c r="P4" s="139"/>
      <c r="Q4" s="139"/>
      <c r="R4" s="139"/>
      <c r="S4" s="139"/>
      <c r="T4" s="139"/>
      <c r="U4" s="139"/>
      <c r="V4" s="139"/>
      <c r="W4" s="139"/>
      <c r="X4" s="139"/>
      <c r="Y4" s="18"/>
      <c r="Z4" s="139"/>
      <c r="AA4" s="137"/>
    </row>
    <row r="5" spans="1:27" s="38" customFormat="1" ht="32.25" customHeight="1">
      <c r="A5" s="140" t="s">
        <v>396</v>
      </c>
      <c r="B5" s="140"/>
      <c r="C5" s="122"/>
      <c r="D5" s="122"/>
      <c r="E5" s="122"/>
      <c r="F5" s="122"/>
      <c r="G5" s="16"/>
      <c r="H5" s="16"/>
      <c r="I5" s="16"/>
      <c r="J5" s="16"/>
      <c r="K5" s="16"/>
      <c r="L5" s="17"/>
      <c r="M5" s="17"/>
      <c r="N5" s="17"/>
      <c r="O5" s="17">
        <f t="shared" ref="O5:Y5" si="0">O6+O10+O53</f>
        <v>39661.495699999999</v>
      </c>
      <c r="P5" s="17">
        <f t="shared" si="0"/>
        <v>61</v>
      </c>
      <c r="Q5" s="17">
        <f t="shared" si="0"/>
        <v>92000</v>
      </c>
      <c r="R5" s="17">
        <f t="shared" si="0"/>
        <v>17165.610999999997</v>
      </c>
      <c r="S5" s="17">
        <f t="shared" si="0"/>
        <v>23.649999999999995</v>
      </c>
      <c r="T5" s="17">
        <f t="shared" si="0"/>
        <v>13103.540595000002</v>
      </c>
      <c r="U5" s="17">
        <f t="shared" si="0"/>
        <v>17083.400999999998</v>
      </c>
      <c r="V5" s="17">
        <f t="shared" si="0"/>
        <v>8237.1703999999991</v>
      </c>
      <c r="W5" s="17">
        <f t="shared" si="0"/>
        <v>8489.5</v>
      </c>
      <c r="X5" s="17">
        <f t="shared" si="0"/>
        <v>7176.3209999999999</v>
      </c>
      <c r="Y5" s="17">
        <f t="shared" si="0"/>
        <v>3382.1512851170564</v>
      </c>
      <c r="Z5" s="17">
        <f>Z6+Z10+Z53</f>
        <v>4800</v>
      </c>
      <c r="AA5" s="122"/>
    </row>
    <row r="6" spans="1:27" s="38" customFormat="1" ht="32.25" customHeight="1">
      <c r="A6" s="122" t="s">
        <v>184</v>
      </c>
      <c r="B6" s="122" t="s">
        <v>185</v>
      </c>
      <c r="C6" s="122"/>
      <c r="D6" s="122"/>
      <c r="E6" s="122"/>
      <c r="F6" s="122"/>
      <c r="G6" s="16"/>
      <c r="H6" s="16"/>
      <c r="I6" s="16"/>
      <c r="J6" s="16"/>
      <c r="K6" s="16"/>
      <c r="L6" s="17"/>
      <c r="M6" s="17"/>
      <c r="N6" s="17"/>
      <c r="O6" s="17">
        <f t="shared" ref="O6:T6" si="1">SUM(O7:O9)</f>
        <v>818</v>
      </c>
      <c r="P6" s="17">
        <f t="shared" si="1"/>
        <v>6</v>
      </c>
      <c r="Q6" s="17">
        <f t="shared" si="1"/>
        <v>7500</v>
      </c>
      <c r="R6" s="17">
        <f t="shared" si="1"/>
        <v>299.08</v>
      </c>
      <c r="S6" s="17">
        <f t="shared" si="1"/>
        <v>2.2000000000000002</v>
      </c>
      <c r="T6" s="17">
        <f t="shared" si="1"/>
        <v>577.45000000000005</v>
      </c>
      <c r="U6" s="17">
        <f>SUM(U7:U9)</f>
        <v>299.08</v>
      </c>
      <c r="V6" s="17">
        <f t="shared" ref="V6:Z6" si="2">SUM(V7:V9)</f>
        <v>0</v>
      </c>
      <c r="W6" s="17">
        <f t="shared" si="2"/>
        <v>0</v>
      </c>
      <c r="X6" s="17">
        <f t="shared" si="2"/>
        <v>160</v>
      </c>
      <c r="Y6" s="17">
        <f t="shared" si="2"/>
        <v>75.406911928651056</v>
      </c>
      <c r="Z6" s="17">
        <f t="shared" si="2"/>
        <v>214</v>
      </c>
      <c r="AA6" s="17"/>
    </row>
    <row r="7" spans="1:27" s="37" customFormat="1" ht="32.25" customHeight="1">
      <c r="A7" s="119">
        <v>1</v>
      </c>
      <c r="B7" s="119" t="s">
        <v>28</v>
      </c>
      <c r="C7" s="119" t="s">
        <v>186</v>
      </c>
      <c r="D7" s="119" t="s">
        <v>187</v>
      </c>
      <c r="E7" s="42"/>
      <c r="F7" s="42"/>
      <c r="G7" s="120" t="s">
        <v>188</v>
      </c>
      <c r="H7" s="120"/>
      <c r="I7" s="118"/>
      <c r="J7" s="120" t="s">
        <v>190</v>
      </c>
      <c r="K7" s="120"/>
      <c r="L7" s="121">
        <v>66</v>
      </c>
      <c r="M7" s="121">
        <v>7</v>
      </c>
      <c r="N7" s="121" t="s">
        <v>195</v>
      </c>
      <c r="O7" s="121">
        <v>405</v>
      </c>
      <c r="P7" s="121">
        <v>3</v>
      </c>
      <c r="Q7" s="121">
        <v>2000</v>
      </c>
      <c r="R7" s="121">
        <f>L7*M7*Q7/10000</f>
        <v>92.4</v>
      </c>
      <c r="S7" s="121">
        <v>0.6</v>
      </c>
      <c r="T7" s="121">
        <f>O7*S7</f>
        <v>243</v>
      </c>
      <c r="U7" s="121">
        <f>MIN(R7,T7)</f>
        <v>92.4</v>
      </c>
      <c r="V7" s="121"/>
      <c r="W7" s="121"/>
      <c r="X7" s="121">
        <v>92</v>
      </c>
      <c r="Y7" s="18">
        <f>X7/7176*3382</f>
        <v>43.358974358974358</v>
      </c>
      <c r="Z7" s="121">
        <f>ROUND(Y7,0)</f>
        <v>43</v>
      </c>
      <c r="AA7" s="119"/>
    </row>
    <row r="8" spans="1:27" s="37" customFormat="1" ht="32.25" customHeight="1">
      <c r="A8" s="119">
        <v>2</v>
      </c>
      <c r="B8" s="119" t="s">
        <v>30</v>
      </c>
      <c r="C8" s="19" t="s">
        <v>26</v>
      </c>
      <c r="D8" s="19" t="s">
        <v>192</v>
      </c>
      <c r="E8" s="43">
        <v>110.32941</v>
      </c>
      <c r="F8" s="44">
        <v>28.374431390000002</v>
      </c>
      <c r="G8" s="19" t="s">
        <v>27</v>
      </c>
      <c r="H8" s="36" t="s">
        <v>34</v>
      </c>
      <c r="I8" s="19" t="s">
        <v>193</v>
      </c>
      <c r="J8" s="19" t="s">
        <v>194</v>
      </c>
      <c r="K8" s="120"/>
      <c r="L8" s="121">
        <v>66</v>
      </c>
      <c r="M8" s="121">
        <v>7</v>
      </c>
      <c r="N8" s="121" t="s">
        <v>196</v>
      </c>
      <c r="O8" s="121">
        <v>247</v>
      </c>
      <c r="P8" s="121">
        <v>1</v>
      </c>
      <c r="Q8" s="121">
        <v>3000</v>
      </c>
      <c r="R8" s="121">
        <f>L8*M8*Q8/10000</f>
        <v>138.6</v>
      </c>
      <c r="S8" s="121">
        <v>0.85</v>
      </c>
      <c r="T8" s="121">
        <f>O8*S8</f>
        <v>209.95</v>
      </c>
      <c r="U8" s="121">
        <f t="shared" ref="U8:U52" si="3">MIN(R8,T8)</f>
        <v>138.6</v>
      </c>
      <c r="V8" s="121"/>
      <c r="W8" s="121">
        <v>0</v>
      </c>
      <c r="X8" s="121"/>
      <c r="Y8" s="18">
        <f t="shared" ref="Y8:Y71" si="4">X8/7176*3382</f>
        <v>0</v>
      </c>
      <c r="Z8" s="121">
        <v>139</v>
      </c>
      <c r="AA8" s="119"/>
    </row>
    <row r="9" spans="1:27" s="37" customFormat="1" ht="32.25" customHeight="1">
      <c r="A9" s="119">
        <v>3</v>
      </c>
      <c r="B9" s="119" t="s">
        <v>29</v>
      </c>
      <c r="C9" s="119" t="s">
        <v>202</v>
      </c>
      <c r="D9" s="39" t="s">
        <v>399</v>
      </c>
      <c r="E9" s="45"/>
      <c r="F9" s="45"/>
      <c r="G9" s="39"/>
      <c r="H9" s="39"/>
      <c r="I9" s="39" t="s">
        <v>203</v>
      </c>
      <c r="J9" s="39"/>
      <c r="K9" s="120"/>
      <c r="L9" s="121">
        <v>29.6</v>
      </c>
      <c r="M9" s="121">
        <v>9.1999999999999993</v>
      </c>
      <c r="N9" s="121" t="s">
        <v>398</v>
      </c>
      <c r="O9" s="121">
        <v>166</v>
      </c>
      <c r="P9" s="121">
        <v>2</v>
      </c>
      <c r="Q9" s="121">
        <v>2500</v>
      </c>
      <c r="R9" s="121">
        <f>L9*M9*Q9/10000</f>
        <v>68.08</v>
      </c>
      <c r="S9" s="121">
        <v>0.75</v>
      </c>
      <c r="T9" s="121">
        <f>O9*S9</f>
        <v>124.5</v>
      </c>
      <c r="U9" s="121">
        <f t="shared" si="3"/>
        <v>68.08</v>
      </c>
      <c r="V9" s="121"/>
      <c r="W9" s="121"/>
      <c r="X9" s="121">
        <v>68</v>
      </c>
      <c r="Y9" s="18">
        <f t="shared" si="4"/>
        <v>32.047937569676698</v>
      </c>
      <c r="Z9" s="121">
        <f>ROUND(Y9,0)</f>
        <v>32</v>
      </c>
      <c r="AA9" s="119"/>
    </row>
    <row r="10" spans="1:27" s="38" customFormat="1" ht="45" customHeight="1">
      <c r="A10" s="122" t="s">
        <v>197</v>
      </c>
      <c r="B10" s="140" t="s">
        <v>466</v>
      </c>
      <c r="C10" s="140"/>
      <c r="D10" s="122"/>
      <c r="E10" s="46"/>
      <c r="F10" s="46"/>
      <c r="G10" s="16"/>
      <c r="H10" s="16"/>
      <c r="I10" s="16"/>
      <c r="J10" s="16"/>
      <c r="K10" s="16"/>
      <c r="L10" s="17"/>
      <c r="M10" s="17"/>
      <c r="N10" s="17"/>
      <c r="O10" s="17">
        <f t="shared" ref="O10:X10" si="5">O11+O14+O19+O21+O24+O28+O33+O39+O44</f>
        <v>14533.1567</v>
      </c>
      <c r="P10" s="17">
        <f t="shared" si="5"/>
        <v>49</v>
      </c>
      <c r="Q10" s="17">
        <f t="shared" si="5"/>
        <v>72500</v>
      </c>
      <c r="R10" s="17">
        <f t="shared" si="5"/>
        <v>8500.530999999999</v>
      </c>
      <c r="S10" s="17">
        <f t="shared" si="5"/>
        <v>18.299999999999997</v>
      </c>
      <c r="T10" s="17">
        <f t="shared" si="5"/>
        <v>11214.090595000001</v>
      </c>
      <c r="U10" s="17">
        <f t="shared" si="5"/>
        <v>8418.3209999999999</v>
      </c>
      <c r="V10" s="17">
        <f t="shared" si="5"/>
        <v>0</v>
      </c>
      <c r="W10" s="17">
        <f t="shared" si="5"/>
        <v>4030</v>
      </c>
      <c r="X10" s="17">
        <f t="shared" si="5"/>
        <v>4164.3209999999999</v>
      </c>
      <c r="Y10" s="18">
        <f t="shared" si="4"/>
        <v>1962.6161680602006</v>
      </c>
      <c r="Z10" s="17">
        <f t="shared" ref="Z10" si="6">Z11+Z14+Z19+Z21+Z24+Z28+Z33+Z39+Z44</f>
        <v>2185</v>
      </c>
      <c r="AA10" s="17"/>
    </row>
    <row r="11" spans="1:27" s="38" customFormat="1" ht="32.25" customHeight="1">
      <c r="A11" s="122"/>
      <c r="B11" s="122" t="s">
        <v>216</v>
      </c>
      <c r="C11" s="122"/>
      <c r="D11" s="122"/>
      <c r="E11" s="46"/>
      <c r="F11" s="46"/>
      <c r="G11" s="16"/>
      <c r="H11" s="16"/>
      <c r="I11" s="16"/>
      <c r="J11" s="16"/>
      <c r="K11" s="16"/>
      <c r="L11" s="17"/>
      <c r="M11" s="17"/>
      <c r="N11" s="17"/>
      <c r="O11" s="17">
        <f>SUM(O12:O13)</f>
        <v>940.74</v>
      </c>
      <c r="P11" s="17">
        <f t="shared" ref="P11:Z11" si="7">SUM(P12:P13)</f>
        <v>6</v>
      </c>
      <c r="Q11" s="17">
        <f t="shared" si="7"/>
        <v>6000</v>
      </c>
      <c r="R11" s="17">
        <f t="shared" si="7"/>
        <v>586.63800000000003</v>
      </c>
      <c r="S11" s="17">
        <f t="shared" si="7"/>
        <v>1.2</v>
      </c>
      <c r="T11" s="17">
        <f t="shared" si="7"/>
        <v>564.44399999999996</v>
      </c>
      <c r="U11" s="17">
        <f t="shared" si="7"/>
        <v>550.73399999999992</v>
      </c>
      <c r="V11" s="17">
        <f t="shared" si="7"/>
        <v>0</v>
      </c>
      <c r="W11" s="17">
        <f t="shared" si="7"/>
        <v>276</v>
      </c>
      <c r="X11" s="17">
        <f t="shared" si="7"/>
        <v>274.73399999999998</v>
      </c>
      <c r="Y11" s="18">
        <f t="shared" si="4"/>
        <v>129.48026588628761</v>
      </c>
      <c r="Z11" s="17">
        <f t="shared" si="7"/>
        <v>129</v>
      </c>
      <c r="AA11" s="17"/>
    </row>
    <row r="12" spans="1:27" s="37" customFormat="1" ht="32.25" customHeight="1">
      <c r="A12" s="119">
        <v>1</v>
      </c>
      <c r="B12" s="119"/>
      <c r="C12" s="20" t="s">
        <v>204</v>
      </c>
      <c r="D12" s="20" t="s">
        <v>205</v>
      </c>
      <c r="E12" s="47">
        <v>113.43744443999999</v>
      </c>
      <c r="F12" s="47">
        <v>27.209527770000001</v>
      </c>
      <c r="G12" s="20" t="s">
        <v>208</v>
      </c>
      <c r="H12" s="20"/>
      <c r="I12" s="20" t="s">
        <v>209</v>
      </c>
      <c r="J12" s="20" t="s">
        <v>210</v>
      </c>
      <c r="K12" s="20">
        <v>125.04</v>
      </c>
      <c r="L12" s="20">
        <v>125.04</v>
      </c>
      <c r="M12" s="20">
        <v>7</v>
      </c>
      <c r="N12" s="20" t="s">
        <v>397</v>
      </c>
      <c r="O12" s="20">
        <v>377.8</v>
      </c>
      <c r="P12" s="20">
        <v>3</v>
      </c>
      <c r="Q12" s="20">
        <v>3000</v>
      </c>
      <c r="R12" s="121">
        <f t="shared" ref="R12:R52" si="8">L12*M12*Q12/10000</f>
        <v>262.58400000000006</v>
      </c>
      <c r="S12" s="20">
        <v>0.6</v>
      </c>
      <c r="T12" s="121">
        <f t="shared" ref="T12:T52" si="9">O12*S12</f>
        <v>226.68</v>
      </c>
      <c r="U12" s="121">
        <f t="shared" si="3"/>
        <v>226.68</v>
      </c>
      <c r="V12" s="121"/>
      <c r="W12" s="121">
        <v>114</v>
      </c>
      <c r="X12" s="121">
        <f>U12-W12</f>
        <v>112.68</v>
      </c>
      <c r="Y12" s="18">
        <f t="shared" si="4"/>
        <v>53.105317725752514</v>
      </c>
      <c r="Z12" s="121">
        <f>ROUND(Y12,0)</f>
        <v>53</v>
      </c>
      <c r="AA12" s="119"/>
    </row>
    <row r="13" spans="1:27" s="37" customFormat="1" ht="32.25" customHeight="1">
      <c r="A13" s="119">
        <v>2</v>
      </c>
      <c r="B13" s="119"/>
      <c r="C13" s="20" t="s">
        <v>206</v>
      </c>
      <c r="D13" s="20" t="s">
        <v>207</v>
      </c>
      <c r="E13" s="47">
        <v>113.70601394000001</v>
      </c>
      <c r="F13" s="47">
        <v>27.86648696</v>
      </c>
      <c r="G13" s="20" t="s">
        <v>211</v>
      </c>
      <c r="H13" s="20"/>
      <c r="I13" s="20" t="s">
        <v>212</v>
      </c>
      <c r="J13" s="20" t="s">
        <v>213</v>
      </c>
      <c r="K13" s="20">
        <v>127.08</v>
      </c>
      <c r="L13" s="20">
        <v>127.08</v>
      </c>
      <c r="M13" s="20">
        <v>8.5</v>
      </c>
      <c r="N13" s="20" t="s">
        <v>214</v>
      </c>
      <c r="O13" s="20">
        <v>562.94000000000005</v>
      </c>
      <c r="P13" s="20">
        <v>3</v>
      </c>
      <c r="Q13" s="20">
        <v>3000</v>
      </c>
      <c r="R13" s="121">
        <f t="shared" si="8"/>
        <v>324.05399999999997</v>
      </c>
      <c r="S13" s="20">
        <v>0.6</v>
      </c>
      <c r="T13" s="121">
        <f t="shared" si="9"/>
        <v>337.76400000000001</v>
      </c>
      <c r="U13" s="121">
        <f t="shared" si="3"/>
        <v>324.05399999999997</v>
      </c>
      <c r="V13" s="121"/>
      <c r="W13" s="121">
        <v>162</v>
      </c>
      <c r="X13" s="121">
        <f>U13-W13</f>
        <v>162.05399999999997</v>
      </c>
      <c r="Y13" s="18">
        <f t="shared" si="4"/>
        <v>76.374948160535112</v>
      </c>
      <c r="Z13" s="121">
        <f>ROUND(Y13,0)</f>
        <v>76</v>
      </c>
      <c r="AA13" s="119"/>
    </row>
    <row r="14" spans="1:27" s="38" customFormat="1" ht="32.25" customHeight="1">
      <c r="A14" s="122"/>
      <c r="B14" s="122" t="s">
        <v>11</v>
      </c>
      <c r="C14" s="21"/>
      <c r="D14" s="21"/>
      <c r="E14" s="48"/>
      <c r="F14" s="48"/>
      <c r="G14" s="21"/>
      <c r="H14" s="21"/>
      <c r="I14" s="21"/>
      <c r="J14" s="21"/>
      <c r="K14" s="21"/>
      <c r="L14" s="21"/>
      <c r="M14" s="21"/>
      <c r="N14" s="21"/>
      <c r="O14" s="21">
        <f>SUM(O15:O18)</f>
        <v>1401.1858</v>
      </c>
      <c r="P14" s="21">
        <f t="shared" ref="P14:Z14" si="10">SUM(P15:P18)</f>
        <v>4</v>
      </c>
      <c r="Q14" s="21">
        <f t="shared" si="10"/>
        <v>13500</v>
      </c>
      <c r="R14" s="21">
        <f t="shared" si="10"/>
        <v>935.17200000000003</v>
      </c>
      <c r="S14" s="21">
        <f t="shared" si="10"/>
        <v>3.4</v>
      </c>
      <c r="T14" s="21">
        <f t="shared" si="10"/>
        <v>1191.00793</v>
      </c>
      <c r="U14" s="21">
        <f t="shared" si="10"/>
        <v>935.17200000000003</v>
      </c>
      <c r="V14" s="21">
        <f t="shared" si="10"/>
        <v>0</v>
      </c>
      <c r="W14" s="21">
        <f t="shared" si="10"/>
        <v>468</v>
      </c>
      <c r="X14" s="21">
        <f t="shared" si="10"/>
        <v>467.17199999999997</v>
      </c>
      <c r="Y14" s="18">
        <f t="shared" si="4"/>
        <v>220.17498662207359</v>
      </c>
      <c r="Z14" s="21">
        <f t="shared" si="10"/>
        <v>220</v>
      </c>
      <c r="AA14" s="21"/>
    </row>
    <row r="15" spans="1:27" s="37" customFormat="1" ht="37.5" customHeight="1">
      <c r="A15" s="119">
        <v>3</v>
      </c>
      <c r="B15" s="119"/>
      <c r="C15" s="20" t="s">
        <v>7</v>
      </c>
      <c r="D15" s="120" t="s">
        <v>217</v>
      </c>
      <c r="E15" s="43">
        <v>111.41796325999999</v>
      </c>
      <c r="F15" s="43">
        <v>27.485183559999999</v>
      </c>
      <c r="G15" s="120" t="s">
        <v>218</v>
      </c>
      <c r="H15" s="20"/>
      <c r="I15" s="120" t="s">
        <v>219</v>
      </c>
      <c r="J15" s="120" t="s">
        <v>220</v>
      </c>
      <c r="K15" s="20"/>
      <c r="L15" s="120">
        <v>71.64</v>
      </c>
      <c r="M15" s="120">
        <v>7</v>
      </c>
      <c r="N15" s="22" t="s">
        <v>228</v>
      </c>
      <c r="O15" s="20">
        <v>249</v>
      </c>
      <c r="P15" s="22">
        <v>1</v>
      </c>
      <c r="Q15" s="20">
        <v>3000</v>
      </c>
      <c r="R15" s="121">
        <f t="shared" si="8"/>
        <v>150.44399999999999</v>
      </c>
      <c r="S15" s="20">
        <v>0.85</v>
      </c>
      <c r="T15" s="121">
        <f t="shared" si="9"/>
        <v>211.65</v>
      </c>
      <c r="U15" s="121">
        <f t="shared" si="3"/>
        <v>150.44399999999999</v>
      </c>
      <c r="V15" s="121"/>
      <c r="W15" s="121">
        <v>75</v>
      </c>
      <c r="X15" s="121">
        <f>U15-W15</f>
        <v>75.443999999999988</v>
      </c>
      <c r="Y15" s="18">
        <f t="shared" si="4"/>
        <v>35.55624414715718</v>
      </c>
      <c r="Z15" s="121">
        <f>ROUND(Y15,0)-1</f>
        <v>35</v>
      </c>
      <c r="AA15" s="119"/>
    </row>
    <row r="16" spans="1:27" s="37" customFormat="1" ht="37.5" customHeight="1">
      <c r="A16" s="119">
        <v>4</v>
      </c>
      <c r="B16" s="119"/>
      <c r="C16" s="20" t="s">
        <v>7</v>
      </c>
      <c r="D16" s="120" t="s">
        <v>221</v>
      </c>
      <c r="E16" s="43">
        <v>111.33408123</v>
      </c>
      <c r="F16" s="43">
        <v>27.290273209999999</v>
      </c>
      <c r="G16" s="120" t="s">
        <v>222</v>
      </c>
      <c r="H16" s="20"/>
      <c r="I16" s="120" t="s">
        <v>223</v>
      </c>
      <c r="J16" s="120" t="s">
        <v>95</v>
      </c>
      <c r="K16" s="20"/>
      <c r="L16" s="120">
        <v>112.14</v>
      </c>
      <c r="M16" s="120">
        <v>7.5</v>
      </c>
      <c r="N16" s="22" t="s">
        <v>229</v>
      </c>
      <c r="O16" s="20">
        <v>494.68709999999999</v>
      </c>
      <c r="P16" s="22">
        <v>1</v>
      </c>
      <c r="Q16" s="20">
        <v>3500</v>
      </c>
      <c r="R16" s="121">
        <f t="shared" si="8"/>
        <v>294.36750000000001</v>
      </c>
      <c r="S16" s="20">
        <v>0.85</v>
      </c>
      <c r="T16" s="121">
        <f t="shared" si="9"/>
        <v>420.48403500000001</v>
      </c>
      <c r="U16" s="121">
        <f t="shared" si="3"/>
        <v>294.36750000000001</v>
      </c>
      <c r="V16" s="121"/>
      <c r="W16" s="121">
        <v>147</v>
      </c>
      <c r="X16" s="121">
        <f>U16-W16</f>
        <v>147.36750000000001</v>
      </c>
      <c r="Y16" s="18">
        <f t="shared" si="4"/>
        <v>69.453300585284282</v>
      </c>
      <c r="Z16" s="121">
        <f>ROUND(Y16,0)</f>
        <v>69</v>
      </c>
      <c r="AA16" s="119"/>
    </row>
    <row r="17" spans="1:27" s="37" customFormat="1" ht="37.5" customHeight="1">
      <c r="A17" s="119">
        <v>5</v>
      </c>
      <c r="B17" s="119"/>
      <c r="C17" s="20" t="s">
        <v>7</v>
      </c>
      <c r="D17" s="120" t="s">
        <v>224</v>
      </c>
      <c r="E17" s="43">
        <v>111.26334358</v>
      </c>
      <c r="F17" s="43">
        <v>27.319457849999999</v>
      </c>
      <c r="G17" s="120" t="s">
        <v>93</v>
      </c>
      <c r="H17" s="20"/>
      <c r="I17" s="120" t="s">
        <v>225</v>
      </c>
      <c r="J17" s="120" t="s">
        <v>95</v>
      </c>
      <c r="K17" s="20"/>
      <c r="L17" s="120">
        <v>105.48</v>
      </c>
      <c r="M17" s="120">
        <v>6.75</v>
      </c>
      <c r="N17" s="22" t="s">
        <v>230</v>
      </c>
      <c r="O17" s="20">
        <v>342.3997</v>
      </c>
      <c r="P17" s="22">
        <v>1</v>
      </c>
      <c r="Q17" s="20">
        <v>3500</v>
      </c>
      <c r="R17" s="121">
        <f t="shared" si="8"/>
        <v>249.19649999999999</v>
      </c>
      <c r="S17" s="20">
        <v>0.85</v>
      </c>
      <c r="T17" s="121">
        <f t="shared" si="9"/>
        <v>291.03974499999998</v>
      </c>
      <c r="U17" s="121">
        <f t="shared" si="3"/>
        <v>249.19649999999999</v>
      </c>
      <c r="V17" s="121"/>
      <c r="W17" s="121">
        <v>125</v>
      </c>
      <c r="X17" s="121">
        <f>U17-W17</f>
        <v>124.19649999999999</v>
      </c>
      <c r="Y17" s="18">
        <f t="shared" si="4"/>
        <v>58.532965858416937</v>
      </c>
      <c r="Z17" s="121">
        <f>ROUND(Y17,0)</f>
        <v>59</v>
      </c>
      <c r="AA17" s="119"/>
    </row>
    <row r="18" spans="1:27" s="37" customFormat="1" ht="37.5" customHeight="1">
      <c r="A18" s="119">
        <v>6</v>
      </c>
      <c r="B18" s="119"/>
      <c r="C18" s="20" t="s">
        <v>7</v>
      </c>
      <c r="D18" s="120" t="s">
        <v>226</v>
      </c>
      <c r="E18" s="43">
        <v>111.30704126000001</v>
      </c>
      <c r="F18" s="43">
        <v>27.320454260000002</v>
      </c>
      <c r="G18" s="120" t="s">
        <v>93</v>
      </c>
      <c r="H18" s="20"/>
      <c r="I18" s="120" t="s">
        <v>227</v>
      </c>
      <c r="J18" s="120" t="s">
        <v>95</v>
      </c>
      <c r="K18" s="20"/>
      <c r="L18" s="120">
        <v>102.08</v>
      </c>
      <c r="M18" s="120">
        <v>6.75</v>
      </c>
      <c r="N18" s="22" t="s">
        <v>231</v>
      </c>
      <c r="O18" s="20">
        <v>315.09899999999999</v>
      </c>
      <c r="P18" s="22">
        <v>1</v>
      </c>
      <c r="Q18" s="20">
        <v>3500</v>
      </c>
      <c r="R18" s="121">
        <f t="shared" si="8"/>
        <v>241.16399999999999</v>
      </c>
      <c r="S18" s="20">
        <v>0.85</v>
      </c>
      <c r="T18" s="121">
        <f t="shared" si="9"/>
        <v>267.83414999999997</v>
      </c>
      <c r="U18" s="121">
        <f t="shared" si="3"/>
        <v>241.16399999999999</v>
      </c>
      <c r="V18" s="121"/>
      <c r="W18" s="121">
        <v>121</v>
      </c>
      <c r="X18" s="121">
        <f>U18-W18</f>
        <v>120.16399999999999</v>
      </c>
      <c r="Y18" s="18">
        <f t="shared" si="4"/>
        <v>56.632476031215148</v>
      </c>
      <c r="Z18" s="121">
        <f>ROUND(Y18,0)</f>
        <v>57</v>
      </c>
      <c r="AA18" s="119"/>
    </row>
    <row r="19" spans="1:27" s="38" customFormat="1" ht="32.25" customHeight="1">
      <c r="A19" s="122"/>
      <c r="B19" s="122" t="s">
        <v>146</v>
      </c>
      <c r="C19" s="21"/>
      <c r="D19" s="21"/>
      <c r="E19" s="48"/>
      <c r="F19" s="48"/>
      <c r="G19" s="21"/>
      <c r="H19" s="21"/>
      <c r="I19" s="21"/>
      <c r="J19" s="21"/>
      <c r="K19" s="21"/>
      <c r="L19" s="21"/>
      <c r="M19" s="21"/>
      <c r="N19" s="21"/>
      <c r="O19" s="21">
        <f>SUM(O20)</f>
        <v>1487.96</v>
      </c>
      <c r="P19" s="21">
        <f t="shared" ref="P19:Z19" si="11">SUM(P20)</f>
        <v>1</v>
      </c>
      <c r="Q19" s="21">
        <f t="shared" si="11"/>
        <v>3500</v>
      </c>
      <c r="R19" s="21">
        <f t="shared" si="11"/>
        <v>1273.9649999999999</v>
      </c>
      <c r="S19" s="21">
        <f t="shared" si="11"/>
        <v>0.85</v>
      </c>
      <c r="T19" s="21">
        <f t="shared" si="11"/>
        <v>1264.7660000000001</v>
      </c>
      <c r="U19" s="21">
        <f t="shared" si="11"/>
        <v>1264.7660000000001</v>
      </c>
      <c r="V19" s="21">
        <f t="shared" si="11"/>
        <v>0</v>
      </c>
      <c r="W19" s="21">
        <f t="shared" si="11"/>
        <v>633</v>
      </c>
      <c r="X19" s="21">
        <f t="shared" si="11"/>
        <v>631.76600000000008</v>
      </c>
      <c r="Y19" s="18">
        <f t="shared" si="4"/>
        <v>297.74701950947605</v>
      </c>
      <c r="Z19" s="21">
        <f t="shared" si="11"/>
        <v>297</v>
      </c>
      <c r="AA19" s="122"/>
    </row>
    <row r="20" spans="1:27" s="37" customFormat="1" ht="45.75" customHeight="1">
      <c r="A20" s="119">
        <v>7</v>
      </c>
      <c r="B20" s="119"/>
      <c r="C20" s="20" t="s">
        <v>232</v>
      </c>
      <c r="D20" s="20" t="s">
        <v>233</v>
      </c>
      <c r="E20" s="47">
        <v>113.679138889</v>
      </c>
      <c r="F20" s="47">
        <v>28.645334444</v>
      </c>
      <c r="G20" s="20" t="s">
        <v>234</v>
      </c>
      <c r="H20" s="20"/>
      <c r="I20" s="20" t="s">
        <v>235</v>
      </c>
      <c r="J20" s="20" t="s">
        <v>236</v>
      </c>
      <c r="K20" s="20"/>
      <c r="L20" s="20">
        <v>485.32</v>
      </c>
      <c r="M20" s="20">
        <v>7.5</v>
      </c>
      <c r="N20" s="8" t="s">
        <v>237</v>
      </c>
      <c r="O20" s="20">
        <v>1487.96</v>
      </c>
      <c r="P20" s="20">
        <v>1</v>
      </c>
      <c r="Q20" s="20">
        <v>3500</v>
      </c>
      <c r="R20" s="121">
        <f t="shared" si="8"/>
        <v>1273.9649999999999</v>
      </c>
      <c r="S20" s="20">
        <v>0.85</v>
      </c>
      <c r="T20" s="121">
        <f t="shared" si="9"/>
        <v>1264.7660000000001</v>
      </c>
      <c r="U20" s="121">
        <f t="shared" si="3"/>
        <v>1264.7660000000001</v>
      </c>
      <c r="V20" s="121"/>
      <c r="W20" s="121">
        <v>633</v>
      </c>
      <c r="X20" s="121">
        <f>U20-W20</f>
        <v>631.76600000000008</v>
      </c>
      <c r="Y20" s="18">
        <f t="shared" si="4"/>
        <v>297.74701950947605</v>
      </c>
      <c r="Z20" s="121">
        <f>ROUND(Y20,0)-1</f>
        <v>297</v>
      </c>
      <c r="AA20" s="119"/>
    </row>
    <row r="21" spans="1:27" s="38" customFormat="1" ht="32.25" customHeight="1">
      <c r="A21" s="122"/>
      <c r="B21" s="122" t="s">
        <v>28</v>
      </c>
      <c r="C21" s="122"/>
      <c r="D21" s="122"/>
      <c r="E21" s="46"/>
      <c r="F21" s="46"/>
      <c r="G21" s="16"/>
      <c r="H21" s="16"/>
      <c r="I21" s="16"/>
      <c r="J21" s="16"/>
      <c r="K21" s="16"/>
      <c r="L21" s="17"/>
      <c r="M21" s="17"/>
      <c r="N21" s="17"/>
      <c r="O21" s="17">
        <f>SUM(O22:O23)</f>
        <v>1875.1595</v>
      </c>
      <c r="P21" s="17">
        <f t="shared" ref="P21:Z21" si="12">SUM(P22:P23)</f>
        <v>5</v>
      </c>
      <c r="Q21" s="17">
        <f t="shared" si="12"/>
        <v>4500</v>
      </c>
      <c r="R21" s="17">
        <f t="shared" si="12"/>
        <v>517.70399999999995</v>
      </c>
      <c r="S21" s="17">
        <f t="shared" si="12"/>
        <v>1.35</v>
      </c>
      <c r="T21" s="17">
        <f t="shared" si="12"/>
        <v>1364.3457000000001</v>
      </c>
      <c r="U21" s="17">
        <f t="shared" si="12"/>
        <v>517.70399999999995</v>
      </c>
      <c r="V21" s="17">
        <f t="shared" si="12"/>
        <v>0</v>
      </c>
      <c r="W21" s="17">
        <f t="shared" si="12"/>
        <v>260</v>
      </c>
      <c r="X21" s="17">
        <f t="shared" si="12"/>
        <v>257.70400000000001</v>
      </c>
      <c r="Y21" s="18">
        <f t="shared" si="4"/>
        <v>121.45414269788182</v>
      </c>
      <c r="Z21" s="17">
        <f t="shared" si="12"/>
        <v>121</v>
      </c>
      <c r="AA21" s="17"/>
    </row>
    <row r="22" spans="1:27" s="37" customFormat="1" ht="36" customHeight="1">
      <c r="A22" s="119">
        <v>8</v>
      </c>
      <c r="B22" s="119"/>
      <c r="C22" s="20" t="s">
        <v>238</v>
      </c>
      <c r="D22" s="20" t="s">
        <v>239</v>
      </c>
      <c r="E22" s="47">
        <v>111.76800436000001</v>
      </c>
      <c r="F22" s="47">
        <v>28.7484094</v>
      </c>
      <c r="G22" s="20" t="s">
        <v>240</v>
      </c>
      <c r="H22" s="20"/>
      <c r="I22" s="20" t="s">
        <v>241</v>
      </c>
      <c r="J22" s="20" t="s">
        <v>242</v>
      </c>
      <c r="K22" s="120"/>
      <c r="L22" s="20">
        <v>67.08</v>
      </c>
      <c r="M22" s="20">
        <v>6.5</v>
      </c>
      <c r="N22" s="20" t="s">
        <v>248</v>
      </c>
      <c r="O22" s="20">
        <v>280.15949999999998</v>
      </c>
      <c r="P22" s="20">
        <v>3</v>
      </c>
      <c r="Q22" s="20">
        <v>2000</v>
      </c>
      <c r="R22" s="121">
        <f t="shared" si="8"/>
        <v>87.203999999999994</v>
      </c>
      <c r="S22" s="20">
        <v>0.6</v>
      </c>
      <c r="T22" s="121">
        <f t="shared" si="9"/>
        <v>168.09569999999999</v>
      </c>
      <c r="U22" s="121">
        <f t="shared" si="3"/>
        <v>87.203999999999994</v>
      </c>
      <c r="V22" s="121"/>
      <c r="W22" s="121">
        <v>44</v>
      </c>
      <c r="X22" s="121">
        <f>U22-W22</f>
        <v>43.203999999999994</v>
      </c>
      <c r="Y22" s="18">
        <f t="shared" si="4"/>
        <v>20.361751393534</v>
      </c>
      <c r="Z22" s="121">
        <f>ROUND(Y22,0)</f>
        <v>20</v>
      </c>
      <c r="AA22" s="119"/>
    </row>
    <row r="23" spans="1:27" s="37" customFormat="1" ht="36" customHeight="1">
      <c r="A23" s="119">
        <v>9</v>
      </c>
      <c r="B23" s="119"/>
      <c r="C23" s="20" t="s">
        <v>243</v>
      </c>
      <c r="D23" s="20" t="s">
        <v>244</v>
      </c>
      <c r="E23" s="47">
        <v>111.1725</v>
      </c>
      <c r="F23" s="47">
        <v>29.187222219999999</v>
      </c>
      <c r="G23" s="20" t="s">
        <v>245</v>
      </c>
      <c r="H23" s="20"/>
      <c r="I23" s="20" t="s">
        <v>246</v>
      </c>
      <c r="J23" s="20" t="s">
        <v>247</v>
      </c>
      <c r="K23" s="120"/>
      <c r="L23" s="20">
        <v>246</v>
      </c>
      <c r="M23" s="20">
        <v>7</v>
      </c>
      <c r="N23" s="20" t="s">
        <v>249</v>
      </c>
      <c r="O23" s="20">
        <v>1595</v>
      </c>
      <c r="P23" s="20">
        <v>2</v>
      </c>
      <c r="Q23" s="20">
        <v>2500</v>
      </c>
      <c r="R23" s="121">
        <f t="shared" si="8"/>
        <v>430.5</v>
      </c>
      <c r="S23" s="20">
        <v>0.75</v>
      </c>
      <c r="T23" s="121">
        <f t="shared" si="9"/>
        <v>1196.25</v>
      </c>
      <c r="U23" s="121">
        <f t="shared" si="3"/>
        <v>430.5</v>
      </c>
      <c r="V23" s="121"/>
      <c r="W23" s="121">
        <v>216</v>
      </c>
      <c r="X23" s="121">
        <f>U23-W23</f>
        <v>214.5</v>
      </c>
      <c r="Y23" s="18">
        <f t="shared" si="4"/>
        <v>101.09239130434783</v>
      </c>
      <c r="Z23" s="121">
        <f>ROUND(Y23,0)</f>
        <v>101</v>
      </c>
      <c r="AA23" s="119"/>
    </row>
    <row r="24" spans="1:27" s="38" customFormat="1" ht="32.25" customHeight="1">
      <c r="A24" s="122"/>
      <c r="B24" s="122" t="s">
        <v>162</v>
      </c>
      <c r="C24" s="122"/>
      <c r="D24" s="122"/>
      <c r="E24" s="46"/>
      <c r="F24" s="46"/>
      <c r="G24" s="16"/>
      <c r="H24" s="16"/>
      <c r="I24" s="16"/>
      <c r="J24" s="16"/>
      <c r="K24" s="16"/>
      <c r="L24" s="17"/>
      <c r="M24" s="17"/>
      <c r="N24" s="17"/>
      <c r="O24" s="17">
        <f>SUM(O25:O27)</f>
        <v>343.38290000000001</v>
      </c>
      <c r="P24" s="17">
        <f t="shared" ref="P24:Z24" si="13">SUM(P25:P27)</f>
        <v>9</v>
      </c>
      <c r="Q24" s="17">
        <f t="shared" si="13"/>
        <v>6000</v>
      </c>
      <c r="R24" s="17">
        <f t="shared" si="13"/>
        <v>170.5</v>
      </c>
      <c r="S24" s="17">
        <f t="shared" si="13"/>
        <v>1.7999999999999998</v>
      </c>
      <c r="T24" s="17">
        <f t="shared" si="13"/>
        <v>206.02974</v>
      </c>
      <c r="U24" s="17">
        <f t="shared" si="13"/>
        <v>170.5</v>
      </c>
      <c r="V24" s="17">
        <f t="shared" si="13"/>
        <v>0</v>
      </c>
      <c r="W24" s="17">
        <f t="shared" si="13"/>
        <v>86</v>
      </c>
      <c r="X24" s="17">
        <f t="shared" si="13"/>
        <v>84.5</v>
      </c>
      <c r="Y24" s="18">
        <f t="shared" si="4"/>
        <v>39.824275362318843</v>
      </c>
      <c r="Z24" s="17">
        <f t="shared" si="13"/>
        <v>39</v>
      </c>
      <c r="AA24" s="119"/>
    </row>
    <row r="25" spans="1:27" s="37" customFormat="1" ht="32.25" customHeight="1">
      <c r="A25" s="119">
        <v>10</v>
      </c>
      <c r="B25" s="119"/>
      <c r="C25" s="8" t="s">
        <v>250</v>
      </c>
      <c r="D25" s="8" t="s">
        <v>251</v>
      </c>
      <c r="E25" s="49">
        <v>112.56425401</v>
      </c>
      <c r="F25" s="49">
        <v>29.24926353</v>
      </c>
      <c r="G25" s="8" t="s">
        <v>252</v>
      </c>
      <c r="H25" s="8"/>
      <c r="I25" s="8" t="s">
        <v>253</v>
      </c>
      <c r="J25" s="8" t="s">
        <v>254</v>
      </c>
      <c r="K25" s="120"/>
      <c r="L25" s="8">
        <v>60</v>
      </c>
      <c r="M25" s="8">
        <v>5.5</v>
      </c>
      <c r="N25" s="8" t="s">
        <v>262</v>
      </c>
      <c r="O25" s="8">
        <v>113.38590000000001</v>
      </c>
      <c r="P25" s="8">
        <v>3</v>
      </c>
      <c r="Q25" s="8">
        <v>2000</v>
      </c>
      <c r="R25" s="121">
        <f t="shared" si="8"/>
        <v>66</v>
      </c>
      <c r="S25" s="20">
        <v>0.6</v>
      </c>
      <c r="T25" s="121">
        <f t="shared" si="9"/>
        <v>68.031540000000007</v>
      </c>
      <c r="U25" s="121">
        <f t="shared" si="3"/>
        <v>66</v>
      </c>
      <c r="V25" s="121"/>
      <c r="W25" s="121">
        <v>33</v>
      </c>
      <c r="X25" s="121">
        <f>U25-W25</f>
        <v>33</v>
      </c>
      <c r="Y25" s="18">
        <f t="shared" si="4"/>
        <v>15.552675585284282</v>
      </c>
      <c r="Z25" s="121">
        <f>ROUND(Y25,0)-1</f>
        <v>15</v>
      </c>
      <c r="AA25" s="119"/>
    </row>
    <row r="26" spans="1:27" s="37" customFormat="1" ht="32.25" customHeight="1">
      <c r="A26" s="119">
        <v>11</v>
      </c>
      <c r="B26" s="119"/>
      <c r="C26" s="8" t="s">
        <v>250</v>
      </c>
      <c r="D26" s="8" t="s">
        <v>255</v>
      </c>
      <c r="E26" s="49"/>
      <c r="F26" s="49"/>
      <c r="G26" s="8" t="s">
        <v>256</v>
      </c>
      <c r="H26" s="8"/>
      <c r="I26" s="8"/>
      <c r="J26" s="8" t="s">
        <v>257</v>
      </c>
      <c r="K26" s="120"/>
      <c r="L26" s="8">
        <v>40</v>
      </c>
      <c r="M26" s="8">
        <v>5.5</v>
      </c>
      <c r="N26" s="8" t="s">
        <v>263</v>
      </c>
      <c r="O26" s="8">
        <v>108.40949999999999</v>
      </c>
      <c r="P26" s="8">
        <v>3</v>
      </c>
      <c r="Q26" s="8">
        <v>2000</v>
      </c>
      <c r="R26" s="121">
        <f t="shared" si="8"/>
        <v>44</v>
      </c>
      <c r="S26" s="20">
        <v>0.6</v>
      </c>
      <c r="T26" s="121">
        <f t="shared" si="9"/>
        <v>65.045699999999997</v>
      </c>
      <c r="U26" s="121">
        <f t="shared" si="3"/>
        <v>44</v>
      </c>
      <c r="V26" s="121"/>
      <c r="W26" s="121">
        <v>22</v>
      </c>
      <c r="X26" s="121">
        <f>U26-W26</f>
        <v>22</v>
      </c>
      <c r="Y26" s="18">
        <f t="shared" si="4"/>
        <v>10.368450390189521</v>
      </c>
      <c r="Z26" s="121">
        <f>ROUND(Y26,0)</f>
        <v>10</v>
      </c>
      <c r="AA26" s="119"/>
    </row>
    <row r="27" spans="1:27" s="37" customFormat="1" ht="32.25" customHeight="1">
      <c r="A27" s="119">
        <v>12</v>
      </c>
      <c r="B27" s="119"/>
      <c r="C27" s="8" t="s">
        <v>250</v>
      </c>
      <c r="D27" s="8" t="s">
        <v>258</v>
      </c>
      <c r="E27" s="49">
        <v>112.2941374</v>
      </c>
      <c r="F27" s="49">
        <v>29.194626719999999</v>
      </c>
      <c r="G27" s="8" t="s">
        <v>259</v>
      </c>
      <c r="H27" s="8"/>
      <c r="I27" s="8" t="s">
        <v>260</v>
      </c>
      <c r="J27" s="8" t="s">
        <v>261</v>
      </c>
      <c r="K27" s="120"/>
      <c r="L27" s="8">
        <v>55</v>
      </c>
      <c r="M27" s="8">
        <v>5.5</v>
      </c>
      <c r="N27" s="8" t="s">
        <v>401</v>
      </c>
      <c r="O27" s="8">
        <v>121.58750000000001</v>
      </c>
      <c r="P27" s="8">
        <v>3</v>
      </c>
      <c r="Q27" s="8">
        <v>2000</v>
      </c>
      <c r="R27" s="121">
        <f t="shared" si="8"/>
        <v>60.5</v>
      </c>
      <c r="S27" s="20">
        <v>0.6</v>
      </c>
      <c r="T27" s="121">
        <f t="shared" si="9"/>
        <v>72.952500000000001</v>
      </c>
      <c r="U27" s="121">
        <f t="shared" si="3"/>
        <v>60.5</v>
      </c>
      <c r="V27" s="121"/>
      <c r="W27" s="121">
        <v>31</v>
      </c>
      <c r="X27" s="121">
        <f>U27-W27</f>
        <v>29.5</v>
      </c>
      <c r="Y27" s="18">
        <f t="shared" si="4"/>
        <v>13.903149386845037</v>
      </c>
      <c r="Z27" s="121">
        <f>ROUND(Y27,0)</f>
        <v>14</v>
      </c>
      <c r="AA27" s="119"/>
    </row>
    <row r="28" spans="1:27" s="38" customFormat="1" ht="32.25" customHeight="1">
      <c r="A28" s="122"/>
      <c r="B28" s="122" t="s">
        <v>199</v>
      </c>
      <c r="C28" s="58"/>
      <c r="D28" s="58"/>
      <c r="E28" s="59"/>
      <c r="F28" s="59"/>
      <c r="G28" s="58"/>
      <c r="H28" s="58"/>
      <c r="I28" s="58"/>
      <c r="J28" s="58"/>
      <c r="K28" s="16"/>
      <c r="L28" s="58"/>
      <c r="M28" s="58"/>
      <c r="N28" s="58"/>
      <c r="O28" s="58">
        <f>SUM(O29:O32)</f>
        <v>1603.4899999999998</v>
      </c>
      <c r="P28" s="58">
        <f t="shared" ref="P28:Z28" si="14">SUM(P29:P32)</f>
        <v>8</v>
      </c>
      <c r="Q28" s="58">
        <f t="shared" si="14"/>
        <v>11300</v>
      </c>
      <c r="R28" s="58">
        <f t="shared" si="14"/>
        <v>813.31400000000008</v>
      </c>
      <c r="S28" s="58">
        <f t="shared" si="14"/>
        <v>2.9</v>
      </c>
      <c r="T28" s="58">
        <f t="shared" si="14"/>
        <v>1167.2665</v>
      </c>
      <c r="U28" s="58">
        <f t="shared" si="14"/>
        <v>814.09400000000005</v>
      </c>
      <c r="V28" s="58">
        <f t="shared" si="14"/>
        <v>0</v>
      </c>
      <c r="W28" s="58">
        <f t="shared" si="14"/>
        <v>326</v>
      </c>
      <c r="X28" s="58">
        <f t="shared" si="14"/>
        <v>264.09399999999999</v>
      </c>
      <c r="Y28" s="18">
        <f t="shared" si="4"/>
        <v>124.46570624303233</v>
      </c>
      <c r="Z28" s="58">
        <f t="shared" si="14"/>
        <v>349</v>
      </c>
      <c r="AA28" s="122"/>
    </row>
    <row r="29" spans="1:27" s="37" customFormat="1" ht="44.25" customHeight="1">
      <c r="A29" s="119">
        <v>13</v>
      </c>
      <c r="B29" s="119"/>
      <c r="C29" s="119" t="s">
        <v>200</v>
      </c>
      <c r="D29" s="119" t="s">
        <v>201</v>
      </c>
      <c r="E29" s="42"/>
      <c r="F29" s="42"/>
      <c r="G29" s="120"/>
      <c r="H29" s="120"/>
      <c r="I29" s="120"/>
      <c r="J29" s="120"/>
      <c r="K29" s="120"/>
      <c r="L29" s="121">
        <v>119</v>
      </c>
      <c r="M29" s="121">
        <v>8.5</v>
      </c>
      <c r="N29" s="121" t="s">
        <v>402</v>
      </c>
      <c r="O29" s="121">
        <v>646</v>
      </c>
      <c r="P29" s="121">
        <v>3</v>
      </c>
      <c r="Q29" s="121">
        <v>2800</v>
      </c>
      <c r="R29" s="121">
        <f t="shared" si="8"/>
        <v>283.22000000000003</v>
      </c>
      <c r="S29" s="20">
        <v>0.6</v>
      </c>
      <c r="T29" s="121">
        <f t="shared" si="9"/>
        <v>387.59999999999997</v>
      </c>
      <c r="U29" s="121">
        <f>W29+Z29</f>
        <v>284</v>
      </c>
      <c r="V29" s="121"/>
      <c r="W29" s="121">
        <v>60</v>
      </c>
      <c r="X29" s="121"/>
      <c r="Y29" s="18">
        <f t="shared" si="4"/>
        <v>0</v>
      </c>
      <c r="Z29" s="121">
        <v>224</v>
      </c>
      <c r="AA29" s="119" t="s">
        <v>395</v>
      </c>
    </row>
    <row r="30" spans="1:27" s="37" customFormat="1" ht="32.25" customHeight="1">
      <c r="A30" s="119">
        <v>14</v>
      </c>
      <c r="B30" s="119"/>
      <c r="C30" s="20" t="s">
        <v>264</v>
      </c>
      <c r="D30" s="22" t="s">
        <v>265</v>
      </c>
      <c r="E30" s="50">
        <v>112.98084106</v>
      </c>
      <c r="F30" s="50">
        <v>25.2352834</v>
      </c>
      <c r="G30" s="22" t="s">
        <v>266</v>
      </c>
      <c r="H30" s="20"/>
      <c r="I30" s="22" t="s">
        <v>267</v>
      </c>
      <c r="J30" s="20" t="s">
        <v>268</v>
      </c>
      <c r="K30" s="120"/>
      <c r="L30" s="20">
        <v>147.12</v>
      </c>
      <c r="M30" s="20">
        <v>6</v>
      </c>
      <c r="N30" s="20" t="s">
        <v>377</v>
      </c>
      <c r="O30" s="20">
        <v>489.79</v>
      </c>
      <c r="P30" s="20">
        <v>1</v>
      </c>
      <c r="Q30" s="20">
        <v>3500</v>
      </c>
      <c r="R30" s="121">
        <f t="shared" si="8"/>
        <v>308.952</v>
      </c>
      <c r="S30" s="20">
        <v>0.85</v>
      </c>
      <c r="T30" s="121">
        <f t="shared" si="9"/>
        <v>416.32150000000001</v>
      </c>
      <c r="U30" s="121">
        <f t="shared" si="3"/>
        <v>308.952</v>
      </c>
      <c r="V30" s="121"/>
      <c r="W30" s="121">
        <v>155</v>
      </c>
      <c r="X30" s="121">
        <f>U30-W30</f>
        <v>153.952</v>
      </c>
      <c r="Y30" s="18">
        <f t="shared" si="4"/>
        <v>72.556530657748056</v>
      </c>
      <c r="Z30" s="121">
        <f>ROUND(Y30,0)</f>
        <v>73</v>
      </c>
      <c r="AA30" s="119"/>
    </row>
    <row r="31" spans="1:27" s="37" customFormat="1" ht="32.25" customHeight="1">
      <c r="A31" s="119">
        <v>15</v>
      </c>
      <c r="B31" s="119"/>
      <c r="C31" s="20" t="s">
        <v>269</v>
      </c>
      <c r="D31" s="20" t="s">
        <v>270</v>
      </c>
      <c r="E31" s="51">
        <v>112.96553553</v>
      </c>
      <c r="F31" s="51">
        <v>25.545744679999999</v>
      </c>
      <c r="G31" s="20" t="s">
        <v>271</v>
      </c>
      <c r="H31" s="20"/>
      <c r="I31" s="23" t="s">
        <v>272</v>
      </c>
      <c r="J31" s="23" t="s">
        <v>273</v>
      </c>
      <c r="K31" s="120"/>
      <c r="L31" s="20">
        <v>38</v>
      </c>
      <c r="M31" s="20">
        <v>6</v>
      </c>
      <c r="N31" s="20" t="s">
        <v>378</v>
      </c>
      <c r="O31" s="20">
        <v>136.80000000000001</v>
      </c>
      <c r="P31" s="20">
        <v>3</v>
      </c>
      <c r="Q31" s="20">
        <v>2000</v>
      </c>
      <c r="R31" s="121">
        <f t="shared" si="8"/>
        <v>45.6</v>
      </c>
      <c r="S31" s="20">
        <v>0.6</v>
      </c>
      <c r="T31" s="121">
        <f t="shared" si="9"/>
        <v>82.08</v>
      </c>
      <c r="U31" s="121">
        <f t="shared" si="3"/>
        <v>45.6</v>
      </c>
      <c r="V31" s="121"/>
      <c r="W31" s="121">
        <v>23</v>
      </c>
      <c r="X31" s="121">
        <f>U31-W31</f>
        <v>22.6</v>
      </c>
      <c r="Y31" s="18">
        <f t="shared" si="4"/>
        <v>10.651226309921963</v>
      </c>
      <c r="Z31" s="121">
        <f>ROUND(Y31,0)</f>
        <v>11</v>
      </c>
      <c r="AA31" s="119"/>
    </row>
    <row r="32" spans="1:27" s="37" customFormat="1" ht="32.25" customHeight="1">
      <c r="A32" s="119">
        <v>16</v>
      </c>
      <c r="B32" s="119"/>
      <c r="C32" s="20" t="s">
        <v>274</v>
      </c>
      <c r="D32" s="22" t="s">
        <v>275</v>
      </c>
      <c r="E32" s="50">
        <v>113.88559755</v>
      </c>
      <c r="F32" s="50">
        <v>25.87948531</v>
      </c>
      <c r="G32" s="22" t="s">
        <v>276</v>
      </c>
      <c r="H32" s="20"/>
      <c r="I32" s="22" t="s">
        <v>277</v>
      </c>
      <c r="J32" s="22" t="s">
        <v>278</v>
      </c>
      <c r="K32" s="120"/>
      <c r="L32" s="20">
        <v>68.84</v>
      </c>
      <c r="M32" s="20">
        <v>8.5</v>
      </c>
      <c r="N32" s="20" t="s">
        <v>379</v>
      </c>
      <c r="O32" s="20">
        <v>330.9</v>
      </c>
      <c r="P32" s="20">
        <v>1</v>
      </c>
      <c r="Q32" s="20">
        <v>3000</v>
      </c>
      <c r="R32" s="121">
        <f t="shared" si="8"/>
        <v>175.542</v>
      </c>
      <c r="S32" s="20">
        <v>0.85</v>
      </c>
      <c r="T32" s="121">
        <f t="shared" si="9"/>
        <v>281.26499999999999</v>
      </c>
      <c r="U32" s="121">
        <f t="shared" si="3"/>
        <v>175.542</v>
      </c>
      <c r="V32" s="121"/>
      <c r="W32" s="121">
        <v>88</v>
      </c>
      <c r="X32" s="121">
        <f>U32-W32</f>
        <v>87.542000000000002</v>
      </c>
      <c r="Y32" s="18">
        <f t="shared" si="4"/>
        <v>41.257949275362321</v>
      </c>
      <c r="Z32" s="121">
        <f>ROUND(Y32,0)</f>
        <v>41</v>
      </c>
      <c r="AA32" s="119"/>
    </row>
    <row r="33" spans="1:27" s="38" customFormat="1" ht="32.25" customHeight="1">
      <c r="A33" s="122"/>
      <c r="B33" s="122" t="s">
        <v>29</v>
      </c>
      <c r="C33" s="21"/>
      <c r="D33" s="21"/>
      <c r="E33" s="48"/>
      <c r="F33" s="48"/>
      <c r="G33" s="21"/>
      <c r="H33" s="21"/>
      <c r="I33" s="21"/>
      <c r="J33" s="21"/>
      <c r="K33" s="16"/>
      <c r="L33" s="21"/>
      <c r="M33" s="21"/>
      <c r="N33" s="21"/>
      <c r="O33" s="21">
        <f t="shared" ref="O33:X33" si="15">SUM(O34:O38)</f>
        <v>2392.8700000000003</v>
      </c>
      <c r="P33" s="21">
        <f t="shared" si="15"/>
        <v>12</v>
      </c>
      <c r="Q33" s="21">
        <f t="shared" si="15"/>
        <v>15700</v>
      </c>
      <c r="R33" s="21">
        <f t="shared" si="15"/>
        <v>1532.68</v>
      </c>
      <c r="S33" s="21">
        <f t="shared" si="15"/>
        <v>3.4000000000000004</v>
      </c>
      <c r="T33" s="21">
        <f t="shared" si="15"/>
        <v>1641.1175000000001</v>
      </c>
      <c r="U33" s="21">
        <f t="shared" si="15"/>
        <v>1494.7929999999999</v>
      </c>
      <c r="V33" s="21">
        <f t="shared" si="15"/>
        <v>0</v>
      </c>
      <c r="W33" s="21">
        <f t="shared" si="15"/>
        <v>778</v>
      </c>
      <c r="X33" s="21">
        <f t="shared" si="15"/>
        <v>716.79299999999989</v>
      </c>
      <c r="Y33" s="18">
        <f t="shared" si="4"/>
        <v>337.81966638795984</v>
      </c>
      <c r="Z33" s="21">
        <f t="shared" ref="Z33" si="16">SUM(Z34:Z38)</f>
        <v>338</v>
      </c>
      <c r="AA33" s="122"/>
    </row>
    <row r="34" spans="1:27" s="37" customFormat="1" ht="32.25" customHeight="1">
      <c r="A34" s="119">
        <v>17</v>
      </c>
      <c r="B34" s="119"/>
      <c r="C34" s="121" t="s">
        <v>279</v>
      </c>
      <c r="D34" s="121" t="s">
        <v>280</v>
      </c>
      <c r="E34" s="52">
        <v>111.40125998000001</v>
      </c>
      <c r="F34" s="52">
        <v>25.302264990000001</v>
      </c>
      <c r="G34" s="121" t="s">
        <v>281</v>
      </c>
      <c r="H34" s="121" t="s">
        <v>282</v>
      </c>
      <c r="I34" s="121" t="s">
        <v>283</v>
      </c>
      <c r="J34" s="121" t="s">
        <v>16</v>
      </c>
      <c r="K34" s="120"/>
      <c r="L34" s="121">
        <v>167.12</v>
      </c>
      <c r="M34" s="121">
        <v>7.5</v>
      </c>
      <c r="N34" s="121" t="s">
        <v>380</v>
      </c>
      <c r="O34" s="121">
        <v>510.42</v>
      </c>
      <c r="P34" s="121">
        <v>2</v>
      </c>
      <c r="Q34" s="121">
        <v>3200</v>
      </c>
      <c r="R34" s="121">
        <f t="shared" si="8"/>
        <v>401.08800000000002</v>
      </c>
      <c r="S34" s="20">
        <v>0.75</v>
      </c>
      <c r="T34" s="121">
        <f t="shared" si="9"/>
        <v>382.815</v>
      </c>
      <c r="U34" s="121">
        <f t="shared" si="3"/>
        <v>382.815</v>
      </c>
      <c r="V34" s="121"/>
      <c r="W34" s="121">
        <v>192</v>
      </c>
      <c r="X34" s="121">
        <f t="shared" ref="X34:X38" si="17">U34-W34</f>
        <v>190.815</v>
      </c>
      <c r="Y34" s="18">
        <f t="shared" si="4"/>
        <v>89.929811872909696</v>
      </c>
      <c r="Z34" s="121">
        <f t="shared" ref="Z34:Z38" si="18">ROUND(Y34,0)</f>
        <v>90</v>
      </c>
      <c r="AA34" s="119"/>
    </row>
    <row r="35" spans="1:27" s="37" customFormat="1" ht="32.25" customHeight="1">
      <c r="A35" s="119">
        <v>18</v>
      </c>
      <c r="B35" s="119"/>
      <c r="C35" s="121" t="s">
        <v>284</v>
      </c>
      <c r="D35" s="121" t="s">
        <v>285</v>
      </c>
      <c r="E35" s="52">
        <v>112.28373497</v>
      </c>
      <c r="F35" s="52">
        <v>25.41246997</v>
      </c>
      <c r="G35" s="121" t="s">
        <v>286</v>
      </c>
      <c r="H35" s="121" t="s">
        <v>287</v>
      </c>
      <c r="I35" s="121" t="s">
        <v>288</v>
      </c>
      <c r="J35" s="121" t="s">
        <v>289</v>
      </c>
      <c r="K35" s="120"/>
      <c r="L35" s="121">
        <v>107.12</v>
      </c>
      <c r="M35" s="121">
        <v>7.5</v>
      </c>
      <c r="N35" s="121" t="s">
        <v>381</v>
      </c>
      <c r="O35" s="121">
        <v>389.22</v>
      </c>
      <c r="P35" s="121">
        <v>3</v>
      </c>
      <c r="Q35" s="121">
        <v>3000</v>
      </c>
      <c r="R35" s="121">
        <f t="shared" si="8"/>
        <v>241.02000000000004</v>
      </c>
      <c r="S35" s="20">
        <v>0.6</v>
      </c>
      <c r="T35" s="121">
        <f t="shared" si="9"/>
        <v>233.53200000000001</v>
      </c>
      <c r="U35" s="121">
        <f t="shared" si="3"/>
        <v>233.53200000000001</v>
      </c>
      <c r="V35" s="121"/>
      <c r="W35" s="121">
        <v>117</v>
      </c>
      <c r="X35" s="121">
        <f t="shared" si="17"/>
        <v>116.53200000000001</v>
      </c>
      <c r="Y35" s="18">
        <f t="shared" si="4"/>
        <v>54.920739130434789</v>
      </c>
      <c r="Z35" s="121">
        <f t="shared" si="18"/>
        <v>55</v>
      </c>
      <c r="AA35" s="119"/>
    </row>
    <row r="36" spans="1:27" s="37" customFormat="1" ht="32.25" customHeight="1">
      <c r="A36" s="119">
        <v>19</v>
      </c>
      <c r="B36" s="119"/>
      <c r="C36" s="121" t="s">
        <v>290</v>
      </c>
      <c r="D36" s="121" t="s">
        <v>291</v>
      </c>
      <c r="E36" s="52">
        <v>111.050335</v>
      </c>
      <c r="F36" s="52">
        <v>24.956816660000001</v>
      </c>
      <c r="G36" s="121" t="s">
        <v>292</v>
      </c>
      <c r="H36" s="121" t="s">
        <v>293</v>
      </c>
      <c r="I36" s="121" t="s">
        <v>294</v>
      </c>
      <c r="J36" s="121" t="s">
        <v>295</v>
      </c>
      <c r="K36" s="120"/>
      <c r="L36" s="121">
        <v>127</v>
      </c>
      <c r="M36" s="121">
        <v>8</v>
      </c>
      <c r="N36" s="121" t="s">
        <v>382</v>
      </c>
      <c r="O36" s="121">
        <v>515.33000000000004</v>
      </c>
      <c r="P36" s="121">
        <v>1</v>
      </c>
      <c r="Q36" s="121">
        <v>3500</v>
      </c>
      <c r="R36" s="121">
        <f t="shared" si="8"/>
        <v>355.6</v>
      </c>
      <c r="S36" s="20">
        <v>0.85</v>
      </c>
      <c r="T36" s="121">
        <f t="shared" si="9"/>
        <v>438.03050000000002</v>
      </c>
      <c r="U36" s="121">
        <f t="shared" si="3"/>
        <v>355.6</v>
      </c>
      <c r="V36" s="121"/>
      <c r="W36" s="121">
        <v>178</v>
      </c>
      <c r="X36" s="121">
        <f t="shared" si="17"/>
        <v>177.60000000000002</v>
      </c>
      <c r="Y36" s="18">
        <f t="shared" si="4"/>
        <v>83.701672240802694</v>
      </c>
      <c r="Z36" s="121">
        <f t="shared" si="18"/>
        <v>84</v>
      </c>
      <c r="AA36" s="119"/>
    </row>
    <row r="37" spans="1:27" s="37" customFormat="1" ht="53.25" customHeight="1">
      <c r="A37" s="119">
        <v>20</v>
      </c>
      <c r="B37" s="119"/>
      <c r="C37" s="121" t="s">
        <v>15</v>
      </c>
      <c r="D37" s="121" t="s">
        <v>296</v>
      </c>
      <c r="E37" s="52">
        <v>111.6616732</v>
      </c>
      <c r="F37" s="52">
        <v>25.49769101</v>
      </c>
      <c r="G37" s="121" t="s">
        <v>297</v>
      </c>
      <c r="H37" s="121" t="s">
        <v>298</v>
      </c>
      <c r="I37" s="121" t="s">
        <v>299</v>
      </c>
      <c r="J37" s="121" t="s">
        <v>300</v>
      </c>
      <c r="K37" s="120"/>
      <c r="L37" s="121">
        <v>126.08</v>
      </c>
      <c r="M37" s="115">
        <v>6.5</v>
      </c>
      <c r="N37" s="121" t="s">
        <v>383</v>
      </c>
      <c r="O37" s="121">
        <v>516.25</v>
      </c>
      <c r="P37" s="121">
        <v>3</v>
      </c>
      <c r="Q37" s="121">
        <v>3000</v>
      </c>
      <c r="R37" s="121">
        <f t="shared" si="8"/>
        <v>245.85599999999999</v>
      </c>
      <c r="S37" s="20">
        <v>0.6</v>
      </c>
      <c r="T37" s="121">
        <f t="shared" si="9"/>
        <v>309.75</v>
      </c>
      <c r="U37" s="121">
        <f t="shared" si="3"/>
        <v>245.85599999999999</v>
      </c>
      <c r="V37" s="121"/>
      <c r="W37" s="121">
        <v>152</v>
      </c>
      <c r="X37" s="121">
        <f>U37-W37</f>
        <v>93.855999999999995</v>
      </c>
      <c r="Y37" s="18">
        <f t="shared" si="4"/>
        <v>44.233694537346707</v>
      </c>
      <c r="Z37" s="121">
        <f t="shared" si="18"/>
        <v>44</v>
      </c>
      <c r="AA37" s="119" t="s">
        <v>464</v>
      </c>
    </row>
    <row r="38" spans="1:27" s="37" customFormat="1" ht="32.25" customHeight="1">
      <c r="A38" s="119">
        <v>21</v>
      </c>
      <c r="B38" s="119"/>
      <c r="C38" s="24" t="s">
        <v>301</v>
      </c>
      <c r="D38" s="24" t="s">
        <v>302</v>
      </c>
      <c r="E38" s="53">
        <v>111.8519464</v>
      </c>
      <c r="F38" s="53">
        <v>26.6107488</v>
      </c>
      <c r="G38" s="24" t="s">
        <v>303</v>
      </c>
      <c r="H38" s="24" t="s">
        <v>304</v>
      </c>
      <c r="I38" s="24" t="s">
        <v>305</v>
      </c>
      <c r="J38" s="24" t="s">
        <v>306</v>
      </c>
      <c r="K38" s="120"/>
      <c r="L38" s="24">
        <v>107.08</v>
      </c>
      <c r="M38" s="24">
        <v>9</v>
      </c>
      <c r="N38" s="24" t="s">
        <v>384</v>
      </c>
      <c r="O38" s="24">
        <v>461.65</v>
      </c>
      <c r="P38" s="24">
        <v>3</v>
      </c>
      <c r="Q38" s="24">
        <v>3000</v>
      </c>
      <c r="R38" s="121">
        <f t="shared" si="8"/>
        <v>289.11599999999999</v>
      </c>
      <c r="S38" s="39">
        <v>0.6</v>
      </c>
      <c r="T38" s="121">
        <f t="shared" si="9"/>
        <v>276.98999999999995</v>
      </c>
      <c r="U38" s="121">
        <f t="shared" si="3"/>
        <v>276.98999999999995</v>
      </c>
      <c r="V38" s="121"/>
      <c r="W38" s="121">
        <v>139</v>
      </c>
      <c r="X38" s="121">
        <f t="shared" si="17"/>
        <v>137.98999999999995</v>
      </c>
      <c r="Y38" s="18">
        <f t="shared" si="4"/>
        <v>65.033748606465977</v>
      </c>
      <c r="Z38" s="121">
        <f t="shared" si="18"/>
        <v>65</v>
      </c>
      <c r="AA38" s="119"/>
    </row>
    <row r="39" spans="1:27" s="37" customFormat="1" ht="32.25" customHeight="1">
      <c r="A39" s="119"/>
      <c r="B39" s="122" t="s">
        <v>147</v>
      </c>
      <c r="C39" s="21"/>
      <c r="D39" s="21"/>
      <c r="E39" s="48"/>
      <c r="F39" s="48"/>
      <c r="G39" s="21"/>
      <c r="H39" s="21"/>
      <c r="I39" s="21"/>
      <c r="J39" s="21"/>
      <c r="K39" s="120"/>
      <c r="L39" s="21">
        <f>SUM(L40:L43)</f>
        <v>155.08000000000001</v>
      </c>
      <c r="M39" s="21"/>
      <c r="N39" s="21"/>
      <c r="O39" s="21">
        <f>SUM(O40:O43)</f>
        <v>864.97849999999994</v>
      </c>
      <c r="P39" s="21">
        <f t="shared" ref="P39:Z39" si="19">SUM(P40:P43)</f>
        <v>4</v>
      </c>
      <c r="Q39" s="21">
        <f t="shared" si="19"/>
        <v>12000</v>
      </c>
      <c r="R39" s="21">
        <f t="shared" si="19"/>
        <v>432.69</v>
      </c>
      <c r="S39" s="21">
        <f t="shared" si="19"/>
        <v>3.4</v>
      </c>
      <c r="T39" s="21">
        <f t="shared" si="19"/>
        <v>735.2317250000001</v>
      </c>
      <c r="U39" s="21">
        <f t="shared" si="19"/>
        <v>432.69</v>
      </c>
      <c r="V39" s="21">
        <f t="shared" si="19"/>
        <v>0</v>
      </c>
      <c r="W39" s="21">
        <f t="shared" si="19"/>
        <v>212</v>
      </c>
      <c r="X39" s="21">
        <f t="shared" si="19"/>
        <v>220.69000000000003</v>
      </c>
      <c r="Y39" s="18">
        <f t="shared" si="4"/>
        <v>104.00969620958753</v>
      </c>
      <c r="Z39" s="21">
        <f t="shared" si="19"/>
        <v>105</v>
      </c>
      <c r="AA39" s="21"/>
    </row>
    <row r="40" spans="1:27" s="37" customFormat="1" ht="32.25" customHeight="1">
      <c r="A40" s="119">
        <v>22</v>
      </c>
      <c r="B40" s="119"/>
      <c r="C40" s="20" t="s">
        <v>307</v>
      </c>
      <c r="D40" s="20" t="s">
        <v>308</v>
      </c>
      <c r="E40" s="47" t="s">
        <v>309</v>
      </c>
      <c r="F40" s="47" t="s">
        <v>310</v>
      </c>
      <c r="G40" s="20" t="s">
        <v>311</v>
      </c>
      <c r="H40" s="20" t="s">
        <v>312</v>
      </c>
      <c r="I40" s="20" t="s">
        <v>313</v>
      </c>
      <c r="J40" s="20" t="s">
        <v>314</v>
      </c>
      <c r="K40" s="120"/>
      <c r="L40" s="20">
        <v>66.040000000000006</v>
      </c>
      <c r="M40" s="20">
        <v>12.5</v>
      </c>
      <c r="N40" s="20" t="s">
        <v>385</v>
      </c>
      <c r="O40" s="20">
        <v>402.20769999999999</v>
      </c>
      <c r="P40" s="20">
        <v>1</v>
      </c>
      <c r="Q40" s="20">
        <v>3000</v>
      </c>
      <c r="R40" s="121">
        <f t="shared" si="8"/>
        <v>247.65000000000003</v>
      </c>
      <c r="S40" s="20">
        <v>0.85</v>
      </c>
      <c r="T40" s="121">
        <f t="shared" si="9"/>
        <v>341.87654499999996</v>
      </c>
      <c r="U40" s="121">
        <f t="shared" si="3"/>
        <v>247.65000000000003</v>
      </c>
      <c r="V40" s="121"/>
      <c r="W40" s="121">
        <v>119</v>
      </c>
      <c r="X40" s="121">
        <f>U40-W40</f>
        <v>128.65000000000003</v>
      </c>
      <c r="Y40" s="18">
        <f t="shared" si="4"/>
        <v>60.631870122631007</v>
      </c>
      <c r="Z40" s="121">
        <f>ROUND(Y40,0)</f>
        <v>61</v>
      </c>
      <c r="AA40" s="119"/>
    </row>
    <row r="41" spans="1:27" s="37" customFormat="1" ht="32.25" customHeight="1">
      <c r="A41" s="119">
        <v>23</v>
      </c>
      <c r="B41" s="119"/>
      <c r="C41" s="20" t="s">
        <v>307</v>
      </c>
      <c r="D41" s="20" t="s">
        <v>315</v>
      </c>
      <c r="E41" s="47" t="s">
        <v>316</v>
      </c>
      <c r="F41" s="47" t="s">
        <v>317</v>
      </c>
      <c r="G41" s="20" t="s">
        <v>311</v>
      </c>
      <c r="H41" s="20" t="s">
        <v>318</v>
      </c>
      <c r="I41" s="20" t="s">
        <v>319</v>
      </c>
      <c r="J41" s="20" t="s">
        <v>320</v>
      </c>
      <c r="K41" s="120"/>
      <c r="L41" s="20">
        <v>38.04</v>
      </c>
      <c r="M41" s="20">
        <v>7.5</v>
      </c>
      <c r="N41" s="20" t="s">
        <v>386</v>
      </c>
      <c r="O41" s="20">
        <v>207.0179</v>
      </c>
      <c r="P41" s="20">
        <v>1</v>
      </c>
      <c r="Q41" s="20">
        <v>3000</v>
      </c>
      <c r="R41" s="121">
        <f t="shared" si="8"/>
        <v>85.59</v>
      </c>
      <c r="S41" s="20">
        <v>0.85</v>
      </c>
      <c r="T41" s="121">
        <f t="shared" si="9"/>
        <v>175.965215</v>
      </c>
      <c r="U41" s="121">
        <f t="shared" si="3"/>
        <v>85.59</v>
      </c>
      <c r="V41" s="121"/>
      <c r="W41" s="121">
        <v>43</v>
      </c>
      <c r="X41" s="121">
        <f>U41-W41</f>
        <v>42.59</v>
      </c>
      <c r="Y41" s="18">
        <f t="shared" si="4"/>
        <v>20.072377369007803</v>
      </c>
      <c r="Z41" s="121">
        <f>ROUND(Y41,0)</f>
        <v>20</v>
      </c>
      <c r="AA41" s="119"/>
    </row>
    <row r="42" spans="1:27" s="37" customFormat="1" ht="32.25" customHeight="1">
      <c r="A42" s="119">
        <v>24</v>
      </c>
      <c r="B42" s="119"/>
      <c r="C42" s="20" t="s">
        <v>307</v>
      </c>
      <c r="D42" s="20" t="s">
        <v>321</v>
      </c>
      <c r="E42" s="47" t="s">
        <v>322</v>
      </c>
      <c r="F42" s="47" t="s">
        <v>323</v>
      </c>
      <c r="G42" s="20" t="s">
        <v>324</v>
      </c>
      <c r="H42" s="20" t="s">
        <v>325</v>
      </c>
      <c r="I42" s="20" t="s">
        <v>326</v>
      </c>
      <c r="J42" s="20" t="s">
        <v>327</v>
      </c>
      <c r="K42" s="120"/>
      <c r="L42" s="20">
        <v>19</v>
      </c>
      <c r="M42" s="20">
        <v>6.5</v>
      </c>
      <c r="N42" s="20" t="s">
        <v>387</v>
      </c>
      <c r="O42" s="20">
        <v>92.6678</v>
      </c>
      <c r="P42" s="20">
        <v>1</v>
      </c>
      <c r="Q42" s="20">
        <v>3000</v>
      </c>
      <c r="R42" s="121">
        <f t="shared" si="8"/>
        <v>37.049999999999997</v>
      </c>
      <c r="S42" s="20">
        <v>0.85</v>
      </c>
      <c r="T42" s="121">
        <f t="shared" si="9"/>
        <v>78.767629999999997</v>
      </c>
      <c r="U42" s="121">
        <f t="shared" si="3"/>
        <v>37.049999999999997</v>
      </c>
      <c r="V42" s="121"/>
      <c r="W42" s="121">
        <v>19</v>
      </c>
      <c r="X42" s="121">
        <f>U42-W42</f>
        <v>18.049999999999997</v>
      </c>
      <c r="Y42" s="18">
        <f t="shared" si="4"/>
        <v>8.5068422519509461</v>
      </c>
      <c r="Z42" s="121">
        <f>ROUND(Y42,0)</f>
        <v>9</v>
      </c>
      <c r="AA42" s="119"/>
    </row>
    <row r="43" spans="1:27" s="37" customFormat="1" ht="32.25" customHeight="1">
      <c r="A43" s="119">
        <v>25</v>
      </c>
      <c r="B43" s="119"/>
      <c r="C43" s="20" t="s">
        <v>307</v>
      </c>
      <c r="D43" s="20" t="s">
        <v>328</v>
      </c>
      <c r="E43" s="47" t="s">
        <v>329</v>
      </c>
      <c r="F43" s="47" t="s">
        <v>330</v>
      </c>
      <c r="G43" s="20" t="s">
        <v>331</v>
      </c>
      <c r="H43" s="20" t="s">
        <v>332</v>
      </c>
      <c r="I43" s="20" t="s">
        <v>333</v>
      </c>
      <c r="J43" s="20" t="s">
        <v>334</v>
      </c>
      <c r="K43" s="120"/>
      <c r="L43" s="20">
        <v>32</v>
      </c>
      <c r="M43" s="20">
        <v>6.5</v>
      </c>
      <c r="N43" s="20" t="s">
        <v>388</v>
      </c>
      <c r="O43" s="20">
        <v>163.08510000000001</v>
      </c>
      <c r="P43" s="20">
        <v>1</v>
      </c>
      <c r="Q43" s="20">
        <v>3000</v>
      </c>
      <c r="R43" s="121">
        <f t="shared" si="8"/>
        <v>62.4</v>
      </c>
      <c r="S43" s="20">
        <v>0.85</v>
      </c>
      <c r="T43" s="121">
        <f t="shared" si="9"/>
        <v>138.62233499999999</v>
      </c>
      <c r="U43" s="121">
        <f t="shared" si="3"/>
        <v>62.4</v>
      </c>
      <c r="V43" s="121"/>
      <c r="W43" s="121">
        <v>31</v>
      </c>
      <c r="X43" s="121">
        <f>U43-W43</f>
        <v>31.4</v>
      </c>
      <c r="Y43" s="18">
        <f t="shared" si="4"/>
        <v>14.79860646599777</v>
      </c>
      <c r="Z43" s="121">
        <f>ROUND(Y43,0)</f>
        <v>15</v>
      </c>
      <c r="AA43" s="119"/>
    </row>
    <row r="44" spans="1:27" s="37" customFormat="1" ht="32.25" customHeight="1">
      <c r="A44" s="119"/>
      <c r="B44" s="122" t="s">
        <v>30</v>
      </c>
      <c r="C44" s="21"/>
      <c r="D44" s="21"/>
      <c r="E44" s="48"/>
      <c r="F44" s="48"/>
      <c r="G44" s="21"/>
      <c r="H44" s="21"/>
      <c r="I44" s="21"/>
      <c r="J44" s="21"/>
      <c r="K44" s="120"/>
      <c r="L44" s="21">
        <f>SUM(L45:L52)</f>
        <v>709.2</v>
      </c>
      <c r="M44" s="21"/>
      <c r="N44" s="21"/>
      <c r="O44" s="21">
        <f t="shared" ref="O44:X44" si="20">SUM(O45:O52)</f>
        <v>3623.3900000000003</v>
      </c>
      <c r="P44" s="21"/>
      <c r="Q44" s="21"/>
      <c r="R44" s="21">
        <f t="shared" si="20"/>
        <v>2237.8679999999999</v>
      </c>
      <c r="S44" s="21"/>
      <c r="T44" s="21">
        <f t="shared" si="20"/>
        <v>3079.8815000000004</v>
      </c>
      <c r="U44" s="21">
        <f t="shared" si="20"/>
        <v>2237.8679999999999</v>
      </c>
      <c r="V44" s="21">
        <f t="shared" si="20"/>
        <v>0</v>
      </c>
      <c r="W44" s="21">
        <f t="shared" si="20"/>
        <v>991</v>
      </c>
      <c r="X44" s="21">
        <f t="shared" si="20"/>
        <v>1246.8679999999999</v>
      </c>
      <c r="Y44" s="18">
        <f t="shared" si="4"/>
        <v>587.64040914158295</v>
      </c>
      <c r="Z44" s="21">
        <f t="shared" ref="Z44" si="21">SUM(Z45:Z52)</f>
        <v>587</v>
      </c>
      <c r="AA44" s="119"/>
    </row>
    <row r="45" spans="1:27" s="37" customFormat="1" ht="32.25" customHeight="1">
      <c r="A45" s="119">
        <v>26</v>
      </c>
      <c r="B45" s="119"/>
      <c r="C45" s="25" t="s">
        <v>335</v>
      </c>
      <c r="D45" s="25" t="s">
        <v>336</v>
      </c>
      <c r="E45" s="54">
        <v>110.24502778</v>
      </c>
      <c r="F45" s="54">
        <v>27.4465</v>
      </c>
      <c r="G45" s="30" t="s">
        <v>337</v>
      </c>
      <c r="H45" s="20" t="s">
        <v>338</v>
      </c>
      <c r="I45" s="25" t="s">
        <v>339</v>
      </c>
      <c r="J45" s="30" t="s">
        <v>340</v>
      </c>
      <c r="K45" s="120"/>
      <c r="L45" s="25">
        <v>50</v>
      </c>
      <c r="M45" s="25">
        <v>7.5</v>
      </c>
      <c r="N45" s="26" t="s">
        <v>389</v>
      </c>
      <c r="O45" s="20">
        <v>200.4</v>
      </c>
      <c r="P45" s="26">
        <v>1</v>
      </c>
      <c r="Q45" s="20">
        <v>3000</v>
      </c>
      <c r="R45" s="121">
        <f t="shared" si="8"/>
        <v>112.5</v>
      </c>
      <c r="S45" s="20">
        <v>0.85</v>
      </c>
      <c r="T45" s="121">
        <f t="shared" si="9"/>
        <v>170.34</v>
      </c>
      <c r="U45" s="121">
        <f t="shared" si="3"/>
        <v>112.5</v>
      </c>
      <c r="V45" s="121"/>
      <c r="W45" s="121">
        <v>57</v>
      </c>
      <c r="X45" s="121">
        <f t="shared" ref="X45:X52" si="22">U45-W45</f>
        <v>55.5</v>
      </c>
      <c r="Y45" s="18">
        <f t="shared" si="4"/>
        <v>26.156772575250837</v>
      </c>
      <c r="Z45" s="121">
        <f t="shared" ref="Z45:Z52" si="23">ROUND(Y45,0)</f>
        <v>26</v>
      </c>
      <c r="AA45" s="119"/>
    </row>
    <row r="46" spans="1:27" s="37" customFormat="1" ht="32.25" customHeight="1">
      <c r="A46" s="119">
        <v>27</v>
      </c>
      <c r="B46" s="119"/>
      <c r="C46" s="25" t="s">
        <v>341</v>
      </c>
      <c r="D46" s="27" t="s">
        <v>342</v>
      </c>
      <c r="E46" s="55"/>
      <c r="F46" s="47"/>
      <c r="G46" s="28" t="s">
        <v>343</v>
      </c>
      <c r="H46" s="20" t="s">
        <v>344</v>
      </c>
      <c r="I46" s="27" t="s">
        <v>345</v>
      </c>
      <c r="J46" s="28" t="s">
        <v>346</v>
      </c>
      <c r="K46" s="120"/>
      <c r="L46" s="29">
        <v>40</v>
      </c>
      <c r="M46" s="29">
        <v>6</v>
      </c>
      <c r="N46" s="26" t="s">
        <v>390</v>
      </c>
      <c r="O46" s="20">
        <v>104.92</v>
      </c>
      <c r="P46" s="26">
        <v>1</v>
      </c>
      <c r="Q46" s="20">
        <v>3000</v>
      </c>
      <c r="R46" s="121">
        <f t="shared" si="8"/>
        <v>72</v>
      </c>
      <c r="S46" s="20">
        <v>0.85</v>
      </c>
      <c r="T46" s="121">
        <f t="shared" si="9"/>
        <v>89.182000000000002</v>
      </c>
      <c r="U46" s="121">
        <f t="shared" si="3"/>
        <v>72</v>
      </c>
      <c r="V46" s="121"/>
      <c r="W46" s="121">
        <v>36</v>
      </c>
      <c r="X46" s="121">
        <f t="shared" si="22"/>
        <v>36</v>
      </c>
      <c r="Y46" s="18">
        <f t="shared" si="4"/>
        <v>16.96655518394649</v>
      </c>
      <c r="Z46" s="121">
        <f t="shared" si="23"/>
        <v>17</v>
      </c>
      <c r="AA46" s="119"/>
    </row>
    <row r="47" spans="1:27" s="37" customFormat="1" ht="32.25" customHeight="1">
      <c r="A47" s="119">
        <v>28</v>
      </c>
      <c r="B47" s="119"/>
      <c r="C47" s="25" t="s">
        <v>341</v>
      </c>
      <c r="D47" s="27" t="s">
        <v>347</v>
      </c>
      <c r="E47" s="55"/>
      <c r="F47" s="47"/>
      <c r="G47" s="28" t="s">
        <v>348</v>
      </c>
      <c r="H47" s="20" t="s">
        <v>349</v>
      </c>
      <c r="I47" s="27" t="s">
        <v>350</v>
      </c>
      <c r="J47" s="28" t="s">
        <v>351</v>
      </c>
      <c r="K47" s="120"/>
      <c r="L47" s="29">
        <v>40</v>
      </c>
      <c r="M47" s="29">
        <v>6</v>
      </c>
      <c r="N47" s="26" t="s">
        <v>391</v>
      </c>
      <c r="O47" s="20">
        <v>103.19</v>
      </c>
      <c r="P47" s="26">
        <v>1</v>
      </c>
      <c r="Q47" s="20">
        <v>3000</v>
      </c>
      <c r="R47" s="121">
        <f t="shared" si="8"/>
        <v>72</v>
      </c>
      <c r="S47" s="20">
        <v>0.85</v>
      </c>
      <c r="T47" s="121">
        <f t="shared" si="9"/>
        <v>87.711500000000001</v>
      </c>
      <c r="U47" s="121">
        <f t="shared" si="3"/>
        <v>72</v>
      </c>
      <c r="V47" s="121"/>
      <c r="W47" s="121">
        <v>36</v>
      </c>
      <c r="X47" s="121">
        <f t="shared" si="22"/>
        <v>36</v>
      </c>
      <c r="Y47" s="18">
        <f t="shared" si="4"/>
        <v>16.96655518394649</v>
      </c>
      <c r="Z47" s="121">
        <f>ROUND(Y47,0)</f>
        <v>17</v>
      </c>
      <c r="AA47" s="119"/>
    </row>
    <row r="48" spans="1:27" s="37" customFormat="1" ht="32.25" customHeight="1">
      <c r="A48" s="119">
        <v>29</v>
      </c>
      <c r="B48" s="119"/>
      <c r="C48" s="25" t="s">
        <v>352</v>
      </c>
      <c r="D48" s="25" t="s">
        <v>353</v>
      </c>
      <c r="E48" s="54">
        <v>109.69598333</v>
      </c>
      <c r="F48" s="56">
        <v>26.869753880000001</v>
      </c>
      <c r="G48" s="30" t="s">
        <v>354</v>
      </c>
      <c r="H48" s="20" t="s">
        <v>355</v>
      </c>
      <c r="I48" s="31" t="s">
        <v>356</v>
      </c>
      <c r="J48" s="30" t="s">
        <v>357</v>
      </c>
      <c r="K48" s="120"/>
      <c r="L48" s="25">
        <v>247.16</v>
      </c>
      <c r="M48" s="25">
        <v>15</v>
      </c>
      <c r="N48" s="26" t="s">
        <v>392</v>
      </c>
      <c r="O48" s="20">
        <v>2052.33</v>
      </c>
      <c r="P48" s="26">
        <v>1</v>
      </c>
      <c r="Q48" s="20">
        <v>3500</v>
      </c>
      <c r="R48" s="121">
        <f t="shared" si="8"/>
        <v>1297.5899999999999</v>
      </c>
      <c r="S48" s="20">
        <v>0.85</v>
      </c>
      <c r="T48" s="121">
        <f t="shared" si="9"/>
        <v>1744.4804999999999</v>
      </c>
      <c r="U48" s="121">
        <f t="shared" si="3"/>
        <v>1297.5899999999999</v>
      </c>
      <c r="V48" s="121"/>
      <c r="W48" s="121">
        <v>519</v>
      </c>
      <c r="X48" s="121">
        <f t="shared" si="22"/>
        <v>778.58999999999992</v>
      </c>
      <c r="Y48" s="18">
        <f t="shared" si="4"/>
        <v>366.94417224080263</v>
      </c>
      <c r="Z48" s="121">
        <f t="shared" si="23"/>
        <v>367</v>
      </c>
      <c r="AA48" s="119"/>
    </row>
    <row r="49" spans="1:27" s="37" customFormat="1" ht="32.25" customHeight="1">
      <c r="A49" s="119">
        <v>30</v>
      </c>
      <c r="B49" s="119"/>
      <c r="C49" s="32" t="s">
        <v>24</v>
      </c>
      <c r="D49" s="32" t="s">
        <v>358</v>
      </c>
      <c r="E49" s="54">
        <v>109.78551389</v>
      </c>
      <c r="F49" s="54">
        <v>27.867886110000001</v>
      </c>
      <c r="G49" s="40" t="s">
        <v>359</v>
      </c>
      <c r="H49" s="20" t="s">
        <v>360</v>
      </c>
      <c r="I49" s="26" t="s">
        <v>361</v>
      </c>
      <c r="J49" s="33" t="s">
        <v>362</v>
      </c>
      <c r="K49" s="120"/>
      <c r="L49" s="25">
        <v>90.04</v>
      </c>
      <c r="M49" s="25">
        <v>6.5</v>
      </c>
      <c r="N49" s="26" t="s">
        <v>405</v>
      </c>
      <c r="O49" s="20">
        <v>388</v>
      </c>
      <c r="P49" s="26">
        <v>1</v>
      </c>
      <c r="Q49" s="20">
        <v>3000</v>
      </c>
      <c r="R49" s="121">
        <f t="shared" si="8"/>
        <v>175.578</v>
      </c>
      <c r="S49" s="20">
        <v>0.85</v>
      </c>
      <c r="T49" s="121">
        <f t="shared" si="9"/>
        <v>329.8</v>
      </c>
      <c r="U49" s="121">
        <f t="shared" si="3"/>
        <v>175.578</v>
      </c>
      <c r="V49" s="121"/>
      <c r="W49" s="121">
        <v>88</v>
      </c>
      <c r="X49" s="121">
        <f t="shared" si="22"/>
        <v>87.578000000000003</v>
      </c>
      <c r="Y49" s="18">
        <f t="shared" si="4"/>
        <v>41.27491583054627</v>
      </c>
      <c r="Z49" s="121">
        <f t="shared" si="23"/>
        <v>41</v>
      </c>
      <c r="AA49" s="119"/>
    </row>
    <row r="50" spans="1:27" s="37" customFormat="1" ht="32.25" customHeight="1">
      <c r="A50" s="119">
        <v>31</v>
      </c>
      <c r="B50" s="119"/>
      <c r="C50" s="25" t="s">
        <v>155</v>
      </c>
      <c r="D50" s="26" t="s">
        <v>363</v>
      </c>
      <c r="E50" s="54">
        <v>109.23721183000001</v>
      </c>
      <c r="F50" s="54">
        <v>27.330604000000001</v>
      </c>
      <c r="G50" s="30" t="s">
        <v>364</v>
      </c>
      <c r="H50" s="20" t="s">
        <v>365</v>
      </c>
      <c r="I50" s="31" t="s">
        <v>366</v>
      </c>
      <c r="J50" s="30" t="s">
        <v>367</v>
      </c>
      <c r="K50" s="120"/>
      <c r="L50" s="25">
        <v>72</v>
      </c>
      <c r="M50" s="25">
        <v>7</v>
      </c>
      <c r="N50" s="34" t="s">
        <v>393</v>
      </c>
      <c r="O50" s="20">
        <v>182.9</v>
      </c>
      <c r="P50" s="26">
        <v>1</v>
      </c>
      <c r="Q50" s="20">
        <v>3000</v>
      </c>
      <c r="R50" s="121">
        <f t="shared" si="8"/>
        <v>151.19999999999999</v>
      </c>
      <c r="S50" s="20">
        <v>0.85</v>
      </c>
      <c r="T50" s="121">
        <f t="shared" si="9"/>
        <v>155.465</v>
      </c>
      <c r="U50" s="121">
        <f t="shared" si="3"/>
        <v>151.19999999999999</v>
      </c>
      <c r="V50" s="121"/>
      <c r="W50" s="121">
        <v>76</v>
      </c>
      <c r="X50" s="121">
        <f t="shared" si="22"/>
        <v>75.199999999999989</v>
      </c>
      <c r="Y50" s="18">
        <f t="shared" si="4"/>
        <v>35.44124860646599</v>
      </c>
      <c r="Z50" s="121">
        <f t="shared" si="23"/>
        <v>35</v>
      </c>
      <c r="AA50" s="119"/>
    </row>
    <row r="51" spans="1:27" s="37" customFormat="1" ht="32.25" customHeight="1">
      <c r="A51" s="119">
        <v>32</v>
      </c>
      <c r="B51" s="119"/>
      <c r="C51" s="25" t="s">
        <v>26</v>
      </c>
      <c r="D51" s="29" t="s">
        <v>368</v>
      </c>
      <c r="E51" s="54">
        <v>110.22502778</v>
      </c>
      <c r="F51" s="57">
        <v>28.280014999999999</v>
      </c>
      <c r="G51" s="35" t="s">
        <v>27</v>
      </c>
      <c r="H51" s="20" t="s">
        <v>369</v>
      </c>
      <c r="I51" s="29" t="s">
        <v>370</v>
      </c>
      <c r="J51" s="35" t="s">
        <v>371</v>
      </c>
      <c r="K51" s="120"/>
      <c r="L51" s="29">
        <v>80</v>
      </c>
      <c r="M51" s="29">
        <v>7</v>
      </c>
      <c r="N51" s="34" t="s">
        <v>394</v>
      </c>
      <c r="O51" s="20">
        <v>304.49</v>
      </c>
      <c r="P51" s="26">
        <v>1</v>
      </c>
      <c r="Q51" s="20">
        <v>3000</v>
      </c>
      <c r="R51" s="121">
        <f t="shared" si="8"/>
        <v>168</v>
      </c>
      <c r="S51" s="20">
        <v>0.85</v>
      </c>
      <c r="T51" s="121">
        <f t="shared" si="9"/>
        <v>258.81650000000002</v>
      </c>
      <c r="U51" s="121">
        <f t="shared" si="3"/>
        <v>168</v>
      </c>
      <c r="V51" s="121"/>
      <c r="W51" s="121">
        <v>84</v>
      </c>
      <c r="X51" s="121">
        <f t="shared" si="22"/>
        <v>84</v>
      </c>
      <c r="Y51" s="18">
        <f t="shared" si="4"/>
        <v>39.588628762541802</v>
      </c>
      <c r="Z51" s="121">
        <f t="shared" si="23"/>
        <v>40</v>
      </c>
      <c r="AA51" s="119"/>
    </row>
    <row r="52" spans="1:27" s="37" customFormat="1" ht="32.25" customHeight="1">
      <c r="A52" s="119">
        <v>33</v>
      </c>
      <c r="B52" s="119"/>
      <c r="C52" s="25" t="s">
        <v>26</v>
      </c>
      <c r="D52" s="29" t="s">
        <v>372</v>
      </c>
      <c r="E52" s="54">
        <v>110.21792583</v>
      </c>
      <c r="F52" s="57">
        <v>28.463256390000002</v>
      </c>
      <c r="G52" s="35" t="s">
        <v>373</v>
      </c>
      <c r="H52" s="20" t="s">
        <v>374</v>
      </c>
      <c r="I52" s="29" t="s">
        <v>375</v>
      </c>
      <c r="J52" s="35" t="s">
        <v>376</v>
      </c>
      <c r="K52" s="120"/>
      <c r="L52" s="29">
        <v>90</v>
      </c>
      <c r="M52" s="29">
        <v>7</v>
      </c>
      <c r="N52" s="34" t="s">
        <v>394</v>
      </c>
      <c r="O52" s="20">
        <v>287.16000000000003</v>
      </c>
      <c r="P52" s="26">
        <v>1</v>
      </c>
      <c r="Q52" s="20">
        <v>3000</v>
      </c>
      <c r="R52" s="121">
        <f t="shared" si="8"/>
        <v>189</v>
      </c>
      <c r="S52" s="20">
        <v>0.85</v>
      </c>
      <c r="T52" s="121">
        <f t="shared" si="9"/>
        <v>244.08600000000001</v>
      </c>
      <c r="U52" s="121">
        <f t="shared" si="3"/>
        <v>189</v>
      </c>
      <c r="V52" s="121"/>
      <c r="W52" s="121">
        <v>95</v>
      </c>
      <c r="X52" s="121">
        <f t="shared" si="22"/>
        <v>94</v>
      </c>
      <c r="Y52" s="18">
        <f t="shared" si="4"/>
        <v>44.301560758082502</v>
      </c>
      <c r="Z52" s="121">
        <f t="shared" si="23"/>
        <v>44</v>
      </c>
      <c r="AA52" s="119"/>
    </row>
    <row r="53" spans="1:27" ht="31.5" customHeight="1">
      <c r="A53" s="73" t="s">
        <v>422</v>
      </c>
      <c r="B53" s="140" t="s">
        <v>423</v>
      </c>
      <c r="C53" s="140"/>
      <c r="D53" s="73"/>
      <c r="E53" s="73"/>
      <c r="F53" s="73"/>
      <c r="G53" s="120"/>
      <c r="H53" s="120"/>
      <c r="I53" s="120"/>
      <c r="J53" s="120"/>
      <c r="K53" s="120"/>
      <c r="L53" s="73"/>
      <c r="M53" s="73"/>
      <c r="N53" s="73"/>
      <c r="O53" s="82">
        <f t="shared" ref="O53:X53" si="24">O54+O56+O65+O67+O70+O74+O77+O85+O88</f>
        <v>24310.339</v>
      </c>
      <c r="P53" s="82">
        <f t="shared" si="24"/>
        <v>6</v>
      </c>
      <c r="Q53" s="82">
        <f t="shared" si="24"/>
        <v>12000</v>
      </c>
      <c r="R53" s="82">
        <f t="shared" si="24"/>
        <v>8366</v>
      </c>
      <c r="S53" s="82">
        <f t="shared" si="24"/>
        <v>3.15</v>
      </c>
      <c r="T53" s="82">
        <f t="shared" si="24"/>
        <v>1312</v>
      </c>
      <c r="U53" s="82">
        <f t="shared" si="24"/>
        <v>8366</v>
      </c>
      <c r="V53" s="82">
        <f t="shared" si="24"/>
        <v>8237.1703999999991</v>
      </c>
      <c r="W53" s="82">
        <f t="shared" si="24"/>
        <v>4459.5</v>
      </c>
      <c r="X53" s="82">
        <f t="shared" si="24"/>
        <v>2852</v>
      </c>
      <c r="Y53" s="18">
        <f t="shared" si="4"/>
        <v>1344.1282051282051</v>
      </c>
      <c r="Z53" s="82">
        <f>Z54+Z56+Z65+Z67+Z70+Z74+Z77+Z85+Z88</f>
        <v>2401</v>
      </c>
      <c r="AA53" s="120"/>
    </row>
    <row r="54" spans="1:27" s="126" customFormat="1" ht="31.5" customHeight="1">
      <c r="A54" s="82"/>
      <c r="B54" s="111" t="s">
        <v>424</v>
      </c>
      <c r="C54" s="69"/>
      <c r="D54" s="69"/>
      <c r="E54" s="82"/>
      <c r="F54" s="82"/>
      <c r="G54" s="16"/>
      <c r="H54" s="16"/>
      <c r="I54" s="16"/>
      <c r="J54" s="16"/>
      <c r="K54" s="16"/>
      <c r="L54" s="82"/>
      <c r="M54" s="82"/>
      <c r="N54" s="82"/>
      <c r="O54" s="82">
        <f t="shared" ref="O54:T54" si="25">O55</f>
        <v>773.20320000000004</v>
      </c>
      <c r="P54" s="82">
        <f t="shared" si="25"/>
        <v>3</v>
      </c>
      <c r="Q54" s="82">
        <f t="shared" si="25"/>
        <v>3000</v>
      </c>
      <c r="R54" s="82">
        <f t="shared" si="25"/>
        <v>370</v>
      </c>
      <c r="S54" s="82">
        <f t="shared" si="25"/>
        <v>0.6</v>
      </c>
      <c r="T54" s="82">
        <f t="shared" si="25"/>
        <v>464</v>
      </c>
      <c r="U54" s="82">
        <f>U55</f>
        <v>370</v>
      </c>
      <c r="V54" s="82">
        <f t="shared" ref="V54:Z54" si="26">V55</f>
        <v>0</v>
      </c>
      <c r="W54" s="82">
        <f t="shared" si="26"/>
        <v>232</v>
      </c>
      <c r="X54" s="82">
        <f t="shared" si="26"/>
        <v>138</v>
      </c>
      <c r="Y54" s="18">
        <f t="shared" si="4"/>
        <v>65.038461538461547</v>
      </c>
      <c r="Z54" s="82">
        <f t="shared" si="26"/>
        <v>65</v>
      </c>
      <c r="AA54" s="16"/>
    </row>
    <row r="55" spans="1:27" ht="31.5" customHeight="1">
      <c r="A55" s="73">
        <v>1</v>
      </c>
      <c r="B55" s="70"/>
      <c r="C55" s="70" t="s">
        <v>31</v>
      </c>
      <c r="D55" s="70" t="s">
        <v>32</v>
      </c>
      <c r="E55" s="71">
        <v>112.69468655</v>
      </c>
      <c r="F55" s="71">
        <v>27.482143130000001</v>
      </c>
      <c r="G55" s="70" t="s">
        <v>33</v>
      </c>
      <c r="H55" s="70" t="s">
        <v>34</v>
      </c>
      <c r="I55" s="70" t="s">
        <v>35</v>
      </c>
      <c r="J55" s="70" t="s">
        <v>36</v>
      </c>
      <c r="K55" s="120"/>
      <c r="L55" s="70">
        <v>145.26</v>
      </c>
      <c r="M55" s="70">
        <v>9</v>
      </c>
      <c r="N55" s="72" t="s">
        <v>425</v>
      </c>
      <c r="O55" s="73">
        <v>773.20320000000004</v>
      </c>
      <c r="P55" s="70">
        <v>3</v>
      </c>
      <c r="Q55" s="73">
        <v>3000</v>
      </c>
      <c r="R55" s="74">
        <f>ROUND(L55*8.5*Q55/10000,)</f>
        <v>370</v>
      </c>
      <c r="S55" s="75">
        <v>0.6</v>
      </c>
      <c r="T55" s="73">
        <f>ROUND(O55*S55,0)</f>
        <v>464</v>
      </c>
      <c r="U55" s="73">
        <f t="shared" ref="U55:U94" si="27">MIN(R55,T55)</f>
        <v>370</v>
      </c>
      <c r="V55" s="73"/>
      <c r="W55" s="73">
        <v>232</v>
      </c>
      <c r="X55" s="73">
        <f>U55-W55</f>
        <v>138</v>
      </c>
      <c r="Y55" s="18">
        <f t="shared" si="4"/>
        <v>65.038461538461547</v>
      </c>
      <c r="Z55" s="73">
        <f t="shared" ref="Z55:Z94" si="28">ROUND(Y55,0)</f>
        <v>65</v>
      </c>
      <c r="AA55" s="120"/>
    </row>
    <row r="56" spans="1:27" ht="31.5" customHeight="1">
      <c r="A56" s="73"/>
      <c r="B56" s="81" t="s">
        <v>426</v>
      </c>
      <c r="C56" s="81"/>
      <c r="D56" s="81"/>
      <c r="E56" s="81"/>
      <c r="F56" s="81"/>
      <c r="G56" s="76"/>
      <c r="H56" s="76"/>
      <c r="I56" s="76"/>
      <c r="J56" s="76"/>
      <c r="K56" s="76"/>
      <c r="L56" s="112"/>
      <c r="M56" s="112"/>
      <c r="N56" s="76"/>
      <c r="O56" s="82">
        <f>SUM(O57:O64)</f>
        <v>1462.9549999999999</v>
      </c>
      <c r="P56" s="112"/>
      <c r="Q56" s="82"/>
      <c r="R56" s="82">
        <f>SUM(R57:R64)</f>
        <v>796</v>
      </c>
      <c r="S56" s="83"/>
      <c r="T56" s="73"/>
      <c r="U56" s="82">
        <f>SUM(U57:U64)</f>
        <v>796</v>
      </c>
      <c r="V56" s="82">
        <f t="shared" ref="V56:Z56" si="29">SUM(V57:V64)</f>
        <v>0</v>
      </c>
      <c r="W56" s="82">
        <f t="shared" si="29"/>
        <v>433.5</v>
      </c>
      <c r="X56" s="82">
        <f t="shared" si="29"/>
        <v>362.5</v>
      </c>
      <c r="Y56" s="18">
        <f t="shared" si="4"/>
        <v>170.84378483835008</v>
      </c>
      <c r="Z56" s="82">
        <f t="shared" si="29"/>
        <v>171</v>
      </c>
      <c r="AA56" s="120"/>
    </row>
    <row r="57" spans="1:27" ht="31.5" customHeight="1">
      <c r="A57" s="73">
        <v>2</v>
      </c>
      <c r="B57" s="70"/>
      <c r="C57" s="72" t="s">
        <v>67</v>
      </c>
      <c r="D57" s="72" t="s">
        <v>69</v>
      </c>
      <c r="E57" s="43">
        <v>111.50368417</v>
      </c>
      <c r="F57" s="43">
        <v>26.965839720000002</v>
      </c>
      <c r="G57" s="72" t="s">
        <v>70</v>
      </c>
      <c r="H57" s="72" t="s">
        <v>68</v>
      </c>
      <c r="I57" s="72" t="s">
        <v>71</v>
      </c>
      <c r="J57" s="72" t="s">
        <v>72</v>
      </c>
      <c r="K57" s="72"/>
      <c r="L57" s="72">
        <v>36.840000000000003</v>
      </c>
      <c r="M57" s="72">
        <v>5.5</v>
      </c>
      <c r="N57" s="72" t="s">
        <v>427</v>
      </c>
      <c r="O57" s="120">
        <v>91.616900000000001</v>
      </c>
      <c r="P57" s="72">
        <v>1</v>
      </c>
      <c r="Q57" s="73">
        <v>3000</v>
      </c>
      <c r="R57" s="73">
        <f t="shared" ref="R57:R61" si="30">ROUND(L57*M57*Q57/10000,)</f>
        <v>61</v>
      </c>
      <c r="S57" s="75">
        <v>0.85</v>
      </c>
      <c r="T57" s="73">
        <f t="shared" ref="T57:T64" si="31">ROUND(O57*S57,0)</f>
        <v>78</v>
      </c>
      <c r="U57" s="73">
        <f t="shared" si="27"/>
        <v>61</v>
      </c>
      <c r="V57" s="73"/>
      <c r="W57" s="73">
        <v>30.5</v>
      </c>
      <c r="X57" s="73">
        <f t="shared" ref="X57:X94" si="32">U57-W57</f>
        <v>30.5</v>
      </c>
      <c r="Y57" s="18">
        <f t="shared" si="4"/>
        <v>14.374442586399109</v>
      </c>
      <c r="Z57" s="73">
        <f t="shared" si="28"/>
        <v>14</v>
      </c>
      <c r="AA57" s="120"/>
    </row>
    <row r="58" spans="1:27" ht="31.5" customHeight="1">
      <c r="A58" s="73">
        <v>3</v>
      </c>
      <c r="B58" s="70"/>
      <c r="C58" s="72" t="s">
        <v>73</v>
      </c>
      <c r="D58" s="77" t="s">
        <v>74</v>
      </c>
      <c r="E58" s="43">
        <v>110.692043</v>
      </c>
      <c r="F58" s="43">
        <v>27.393059000000001</v>
      </c>
      <c r="G58" s="78" t="s">
        <v>75</v>
      </c>
      <c r="H58" s="77" t="s">
        <v>41</v>
      </c>
      <c r="I58" s="79" t="s">
        <v>76</v>
      </c>
      <c r="J58" s="72" t="s">
        <v>77</v>
      </c>
      <c r="K58" s="72"/>
      <c r="L58" s="72">
        <v>22.02</v>
      </c>
      <c r="M58" s="72">
        <v>10</v>
      </c>
      <c r="N58" s="72" t="s">
        <v>428</v>
      </c>
      <c r="O58" s="19">
        <v>66.698400000000007</v>
      </c>
      <c r="P58" s="79">
        <v>1</v>
      </c>
      <c r="Q58" s="73">
        <v>3000</v>
      </c>
      <c r="R58" s="74">
        <f>ROUND(L58*8.5*Q58/10000,)</f>
        <v>56</v>
      </c>
      <c r="S58" s="75">
        <v>0.85</v>
      </c>
      <c r="T58" s="73">
        <f t="shared" si="31"/>
        <v>57</v>
      </c>
      <c r="U58" s="73">
        <f t="shared" si="27"/>
        <v>56</v>
      </c>
      <c r="V58" s="73"/>
      <c r="W58" s="73">
        <v>29</v>
      </c>
      <c r="X58" s="73">
        <f t="shared" si="32"/>
        <v>27</v>
      </c>
      <c r="Y58" s="18">
        <f t="shared" si="4"/>
        <v>12.724916387959867</v>
      </c>
      <c r="Z58" s="73">
        <f t="shared" si="28"/>
        <v>13</v>
      </c>
      <c r="AA58" s="120"/>
    </row>
    <row r="59" spans="1:27" ht="40.5" customHeight="1">
      <c r="A59" s="73">
        <v>4</v>
      </c>
      <c r="B59" s="70"/>
      <c r="C59" s="6" t="s">
        <v>73</v>
      </c>
      <c r="D59" s="79" t="s">
        <v>78</v>
      </c>
      <c r="E59" s="49">
        <v>110.953623055555</v>
      </c>
      <c r="F59" s="49">
        <v>27.527193888888799</v>
      </c>
      <c r="G59" s="79" t="s">
        <v>79</v>
      </c>
      <c r="H59" s="80" t="s">
        <v>41</v>
      </c>
      <c r="I59" s="79" t="s">
        <v>80</v>
      </c>
      <c r="J59" s="79" t="s">
        <v>81</v>
      </c>
      <c r="K59" s="79"/>
      <c r="L59" s="79">
        <v>62.04</v>
      </c>
      <c r="M59" s="79">
        <v>7.5</v>
      </c>
      <c r="N59" s="72" t="s">
        <v>429</v>
      </c>
      <c r="O59" s="19">
        <v>200.565</v>
      </c>
      <c r="P59" s="79">
        <v>1</v>
      </c>
      <c r="Q59" s="73">
        <v>3000</v>
      </c>
      <c r="R59" s="73">
        <f t="shared" si="30"/>
        <v>140</v>
      </c>
      <c r="S59" s="75">
        <v>0.85</v>
      </c>
      <c r="T59" s="73">
        <f t="shared" si="31"/>
        <v>170</v>
      </c>
      <c r="U59" s="73">
        <f t="shared" si="27"/>
        <v>140</v>
      </c>
      <c r="V59" s="73"/>
      <c r="W59" s="73">
        <v>70</v>
      </c>
      <c r="X59" s="73">
        <f t="shared" si="32"/>
        <v>70</v>
      </c>
      <c r="Y59" s="18">
        <f t="shared" si="4"/>
        <v>32.990523968784835</v>
      </c>
      <c r="Z59" s="73">
        <f t="shared" si="28"/>
        <v>33</v>
      </c>
      <c r="AA59" s="120"/>
    </row>
    <row r="60" spans="1:27" ht="31.5" customHeight="1">
      <c r="A60" s="73">
        <v>5</v>
      </c>
      <c r="B60" s="70"/>
      <c r="C60" s="6" t="s">
        <v>73</v>
      </c>
      <c r="D60" s="80" t="s">
        <v>82</v>
      </c>
      <c r="E60" s="49">
        <v>110.80469277777701</v>
      </c>
      <c r="F60" s="49">
        <v>27.314928055555502</v>
      </c>
      <c r="G60" s="78" t="s">
        <v>83</v>
      </c>
      <c r="H60" s="80" t="s">
        <v>41</v>
      </c>
      <c r="I60" s="79" t="s">
        <v>84</v>
      </c>
      <c r="J60" s="6" t="s">
        <v>85</v>
      </c>
      <c r="K60" s="6"/>
      <c r="L60" s="6">
        <v>37.04</v>
      </c>
      <c r="M60" s="6">
        <v>6.5</v>
      </c>
      <c r="N60" s="72" t="s">
        <v>430</v>
      </c>
      <c r="O60" s="19">
        <v>106.2197</v>
      </c>
      <c r="P60" s="79">
        <v>1</v>
      </c>
      <c r="Q60" s="73">
        <v>3000</v>
      </c>
      <c r="R60" s="73">
        <f t="shared" si="30"/>
        <v>72</v>
      </c>
      <c r="S60" s="75">
        <v>0.85</v>
      </c>
      <c r="T60" s="73">
        <f t="shared" si="31"/>
        <v>90</v>
      </c>
      <c r="U60" s="73">
        <f t="shared" si="27"/>
        <v>72</v>
      </c>
      <c r="V60" s="73"/>
      <c r="W60" s="73">
        <v>36</v>
      </c>
      <c r="X60" s="73">
        <f t="shared" si="32"/>
        <v>36</v>
      </c>
      <c r="Y60" s="18">
        <f t="shared" si="4"/>
        <v>16.96655518394649</v>
      </c>
      <c r="Z60" s="73">
        <f t="shared" si="28"/>
        <v>17</v>
      </c>
      <c r="AA60" s="120"/>
    </row>
    <row r="61" spans="1:27" ht="31.5" customHeight="1">
      <c r="A61" s="73">
        <v>6</v>
      </c>
      <c r="B61" s="70"/>
      <c r="C61" s="6" t="s">
        <v>86</v>
      </c>
      <c r="D61" s="6" t="s">
        <v>88</v>
      </c>
      <c r="E61" s="49">
        <v>110.569101</v>
      </c>
      <c r="F61" s="49">
        <v>26.577423</v>
      </c>
      <c r="G61" s="6" t="s">
        <v>89</v>
      </c>
      <c r="H61" s="6" t="s">
        <v>87</v>
      </c>
      <c r="I61" s="6" t="s">
        <v>90</v>
      </c>
      <c r="J61" s="6" t="s">
        <v>91</v>
      </c>
      <c r="K61" s="6"/>
      <c r="L61" s="6">
        <v>15.06</v>
      </c>
      <c r="M61" s="6">
        <v>5.5</v>
      </c>
      <c r="N61" s="72" t="s">
        <v>431</v>
      </c>
      <c r="O61" s="8">
        <v>69.252499999999998</v>
      </c>
      <c r="P61" s="79">
        <v>1</v>
      </c>
      <c r="Q61" s="73">
        <v>3000</v>
      </c>
      <c r="R61" s="73">
        <f t="shared" si="30"/>
        <v>25</v>
      </c>
      <c r="S61" s="75">
        <v>0.85</v>
      </c>
      <c r="T61" s="73">
        <f t="shared" si="31"/>
        <v>59</v>
      </c>
      <c r="U61" s="73">
        <f t="shared" si="27"/>
        <v>25</v>
      </c>
      <c r="V61" s="73"/>
      <c r="W61" s="73">
        <v>12.5</v>
      </c>
      <c r="X61" s="73">
        <f t="shared" si="32"/>
        <v>12.5</v>
      </c>
      <c r="Y61" s="18">
        <f t="shared" si="4"/>
        <v>5.8911649944258642</v>
      </c>
      <c r="Z61" s="73">
        <f t="shared" si="28"/>
        <v>6</v>
      </c>
      <c r="AA61" s="120"/>
    </row>
    <row r="62" spans="1:27" ht="42" customHeight="1">
      <c r="A62" s="73">
        <v>7</v>
      </c>
      <c r="B62" s="70"/>
      <c r="C62" s="72" t="s">
        <v>7</v>
      </c>
      <c r="D62" s="72" t="s">
        <v>96</v>
      </c>
      <c r="E62" s="43">
        <v>111.63497569</v>
      </c>
      <c r="F62" s="43">
        <v>27.355734250000001</v>
      </c>
      <c r="G62" s="72" t="s">
        <v>97</v>
      </c>
      <c r="H62" s="72" t="s">
        <v>87</v>
      </c>
      <c r="I62" s="72" t="s">
        <v>98</v>
      </c>
      <c r="J62" s="72" t="s">
        <v>85</v>
      </c>
      <c r="K62" s="72"/>
      <c r="L62" s="72">
        <v>66.08</v>
      </c>
      <c r="M62" s="72">
        <v>17</v>
      </c>
      <c r="N62" s="72" t="s">
        <v>432</v>
      </c>
      <c r="O62" s="120">
        <v>497.24020000000002</v>
      </c>
      <c r="P62" s="79">
        <v>1</v>
      </c>
      <c r="Q62" s="73">
        <v>3000</v>
      </c>
      <c r="R62" s="74">
        <f>ROUND(L62*8.5*Q62/10000,)</f>
        <v>169</v>
      </c>
      <c r="S62" s="75">
        <v>0.85</v>
      </c>
      <c r="T62" s="73">
        <f t="shared" si="31"/>
        <v>423</v>
      </c>
      <c r="U62" s="73">
        <f t="shared" si="27"/>
        <v>169</v>
      </c>
      <c r="V62" s="73"/>
      <c r="W62" s="73">
        <v>119</v>
      </c>
      <c r="X62" s="73">
        <f t="shared" si="32"/>
        <v>50</v>
      </c>
      <c r="Y62" s="18">
        <f t="shared" si="4"/>
        <v>23.564659977703457</v>
      </c>
      <c r="Z62" s="73">
        <f t="shared" si="28"/>
        <v>24</v>
      </c>
      <c r="AA62" s="120"/>
    </row>
    <row r="63" spans="1:27" ht="40.5" customHeight="1">
      <c r="A63" s="73">
        <v>8</v>
      </c>
      <c r="B63" s="70"/>
      <c r="C63" s="72" t="s">
        <v>7</v>
      </c>
      <c r="D63" s="72" t="s">
        <v>92</v>
      </c>
      <c r="E63" s="43">
        <v>111.29141814499999</v>
      </c>
      <c r="F63" s="43">
        <v>27.326553650000001</v>
      </c>
      <c r="G63" s="72" t="s">
        <v>93</v>
      </c>
      <c r="H63" s="72" t="s">
        <v>87</v>
      </c>
      <c r="I63" s="72" t="s">
        <v>94</v>
      </c>
      <c r="J63" s="72" t="s">
        <v>95</v>
      </c>
      <c r="K63" s="72"/>
      <c r="L63" s="72">
        <v>102.08</v>
      </c>
      <c r="M63" s="72">
        <v>7.5</v>
      </c>
      <c r="N63" s="72" t="s">
        <v>433</v>
      </c>
      <c r="O63" s="120">
        <v>352.78789999999998</v>
      </c>
      <c r="P63" s="79">
        <v>1</v>
      </c>
      <c r="Q63" s="73">
        <v>3000</v>
      </c>
      <c r="R63" s="73">
        <f>ROUND(L63*M63*Q63/10000,)</f>
        <v>230</v>
      </c>
      <c r="S63" s="75">
        <v>0.85</v>
      </c>
      <c r="T63" s="73">
        <f t="shared" si="31"/>
        <v>300</v>
      </c>
      <c r="U63" s="73">
        <f t="shared" si="27"/>
        <v>230</v>
      </c>
      <c r="V63" s="73"/>
      <c r="W63" s="73">
        <v>115</v>
      </c>
      <c r="X63" s="73">
        <f t="shared" si="32"/>
        <v>115</v>
      </c>
      <c r="Y63" s="18">
        <f t="shared" si="4"/>
        <v>54.198717948717942</v>
      </c>
      <c r="Z63" s="73">
        <f t="shared" si="28"/>
        <v>54</v>
      </c>
      <c r="AA63" s="72" t="s">
        <v>463</v>
      </c>
    </row>
    <row r="64" spans="1:27" ht="31.5" customHeight="1">
      <c r="A64" s="73">
        <v>9</v>
      </c>
      <c r="B64" s="70"/>
      <c r="C64" s="70" t="s">
        <v>7</v>
      </c>
      <c r="D64" s="72" t="s">
        <v>8</v>
      </c>
      <c r="E64" s="113">
        <v>111.28255478</v>
      </c>
      <c r="F64" s="113">
        <v>27.524566310000001</v>
      </c>
      <c r="G64" s="72" t="s">
        <v>9</v>
      </c>
      <c r="H64" s="72" t="s">
        <v>87</v>
      </c>
      <c r="I64" s="72" t="s">
        <v>434</v>
      </c>
      <c r="J64" s="72" t="s">
        <v>10</v>
      </c>
      <c r="K64" s="72"/>
      <c r="L64" s="70">
        <v>23.82</v>
      </c>
      <c r="M64" s="70">
        <v>6</v>
      </c>
      <c r="N64" s="72" t="s">
        <v>435</v>
      </c>
      <c r="O64" s="73">
        <v>78.574399999999997</v>
      </c>
      <c r="P64" s="79">
        <v>1</v>
      </c>
      <c r="Q64" s="73">
        <v>3000</v>
      </c>
      <c r="R64" s="73">
        <f>ROUND(L64*M64*Q64/10000,)</f>
        <v>43</v>
      </c>
      <c r="S64" s="75">
        <v>0.85</v>
      </c>
      <c r="T64" s="73">
        <f t="shared" si="31"/>
        <v>67</v>
      </c>
      <c r="U64" s="73">
        <f t="shared" si="27"/>
        <v>43</v>
      </c>
      <c r="V64" s="73"/>
      <c r="W64" s="73">
        <v>21.5</v>
      </c>
      <c r="X64" s="73">
        <f t="shared" si="32"/>
        <v>21.5</v>
      </c>
      <c r="Y64" s="18">
        <f t="shared" si="4"/>
        <v>10.132803790412487</v>
      </c>
      <c r="Z64" s="73">
        <f t="shared" si="28"/>
        <v>10</v>
      </c>
      <c r="AA64" s="120"/>
    </row>
    <row r="65" spans="1:27" ht="31.5" customHeight="1">
      <c r="A65" s="73"/>
      <c r="B65" s="81" t="s">
        <v>436</v>
      </c>
      <c r="C65" s="81"/>
      <c r="D65" s="76"/>
      <c r="E65" s="114"/>
      <c r="F65" s="114"/>
      <c r="G65" s="76"/>
      <c r="H65" s="76"/>
      <c r="I65" s="76"/>
      <c r="J65" s="76"/>
      <c r="K65" s="76"/>
      <c r="L65" s="81">
        <f>SUM(L66:L66)</f>
        <v>65.040000000000006</v>
      </c>
      <c r="M65" s="81"/>
      <c r="N65" s="76"/>
      <c r="O65" s="82">
        <f>SUM(O66:O66)</f>
        <v>180.4016</v>
      </c>
      <c r="P65" s="81"/>
      <c r="Q65" s="82"/>
      <c r="R65" s="82">
        <f>SUM(R66:R66)</f>
        <v>81</v>
      </c>
      <c r="S65" s="83"/>
      <c r="T65" s="73"/>
      <c r="U65" s="82">
        <f>U66</f>
        <v>81</v>
      </c>
      <c r="V65" s="82">
        <f t="shared" ref="V65:Z65" si="33">V66</f>
        <v>0</v>
      </c>
      <c r="W65" s="82">
        <f t="shared" si="33"/>
        <v>40.5</v>
      </c>
      <c r="X65" s="82">
        <f t="shared" si="33"/>
        <v>40.5</v>
      </c>
      <c r="Y65" s="18">
        <f t="shared" si="4"/>
        <v>19.087374581939798</v>
      </c>
      <c r="Z65" s="82">
        <f t="shared" si="33"/>
        <v>19</v>
      </c>
      <c r="AA65" s="120"/>
    </row>
    <row r="66" spans="1:27" ht="31.5" customHeight="1">
      <c r="A66" s="73">
        <v>10</v>
      </c>
      <c r="B66" s="70"/>
      <c r="C66" s="72" t="s">
        <v>99</v>
      </c>
      <c r="D66" s="72" t="s">
        <v>100</v>
      </c>
      <c r="E66" s="43">
        <v>113.61812833</v>
      </c>
      <c r="F66" s="43">
        <v>29.469447779999999</v>
      </c>
      <c r="G66" s="72" t="s">
        <v>101</v>
      </c>
      <c r="H66" s="72" t="s">
        <v>102</v>
      </c>
      <c r="I66" s="72" t="s">
        <v>103</v>
      </c>
      <c r="J66" s="72" t="s">
        <v>104</v>
      </c>
      <c r="K66" s="72"/>
      <c r="L66" s="72">
        <v>65.040000000000006</v>
      </c>
      <c r="M66" s="72">
        <v>6.25</v>
      </c>
      <c r="N66" s="72" t="s">
        <v>105</v>
      </c>
      <c r="O66" s="120">
        <v>180.4016</v>
      </c>
      <c r="P66" s="72">
        <v>3</v>
      </c>
      <c r="Q66" s="73">
        <v>2000</v>
      </c>
      <c r="R66" s="73">
        <f>ROUND(L66*M66*Q66/10000,)</f>
        <v>81</v>
      </c>
      <c r="S66" s="75">
        <v>0.6</v>
      </c>
      <c r="T66" s="73">
        <f>ROUND(O66*S66,0)</f>
        <v>108</v>
      </c>
      <c r="U66" s="73">
        <f t="shared" si="27"/>
        <v>81</v>
      </c>
      <c r="V66" s="73"/>
      <c r="W66" s="73">
        <v>40.5</v>
      </c>
      <c r="X66" s="73">
        <f t="shared" si="32"/>
        <v>40.5</v>
      </c>
      <c r="Y66" s="18">
        <f t="shared" si="4"/>
        <v>19.087374581939798</v>
      </c>
      <c r="Z66" s="73">
        <f t="shared" si="28"/>
        <v>19</v>
      </c>
      <c r="AA66" s="120"/>
    </row>
    <row r="67" spans="1:27" ht="31.5" customHeight="1">
      <c r="A67" s="73"/>
      <c r="B67" s="81" t="s">
        <v>437</v>
      </c>
      <c r="C67" s="81"/>
      <c r="D67" s="81"/>
      <c r="E67" s="81"/>
      <c r="F67" s="81"/>
      <c r="G67" s="76"/>
      <c r="H67" s="76"/>
      <c r="I67" s="76"/>
      <c r="J67" s="76"/>
      <c r="K67" s="76"/>
      <c r="L67" s="112">
        <f>SUM(L68:L69)</f>
        <v>353.12</v>
      </c>
      <c r="M67" s="112"/>
      <c r="N67" s="76"/>
      <c r="O67" s="82">
        <f>SUM(O68:O69)</f>
        <v>1750.7676999999999</v>
      </c>
      <c r="P67" s="112"/>
      <c r="Q67" s="82"/>
      <c r="R67" s="82">
        <f>SUM(R68:R69)</f>
        <v>853</v>
      </c>
      <c r="S67" s="83"/>
      <c r="T67" s="73"/>
      <c r="U67" s="82">
        <f>U68+U69</f>
        <v>853</v>
      </c>
      <c r="V67" s="82">
        <f t="shared" ref="V67:Z67" si="34">V68+V69</f>
        <v>0</v>
      </c>
      <c r="W67" s="82">
        <f t="shared" si="34"/>
        <v>463.5</v>
      </c>
      <c r="X67" s="82">
        <f t="shared" si="34"/>
        <v>389.5</v>
      </c>
      <c r="Y67" s="18">
        <f t="shared" si="4"/>
        <v>183.56870122630991</v>
      </c>
      <c r="Z67" s="82">
        <f t="shared" si="34"/>
        <v>184</v>
      </c>
      <c r="AA67" s="120"/>
    </row>
    <row r="68" spans="1:27" ht="31.5" customHeight="1">
      <c r="A68" s="73">
        <v>11</v>
      </c>
      <c r="B68" s="72"/>
      <c r="C68" s="72" t="s">
        <v>238</v>
      </c>
      <c r="D68" s="70" t="s">
        <v>438</v>
      </c>
      <c r="E68" s="113">
        <v>112.05577667999999</v>
      </c>
      <c r="F68" s="113">
        <v>29.015393799999998</v>
      </c>
      <c r="G68" s="72" t="s">
        <v>439</v>
      </c>
      <c r="H68" s="70" t="s">
        <v>38</v>
      </c>
      <c r="I68" s="72" t="s">
        <v>440</v>
      </c>
      <c r="J68" s="72" t="s">
        <v>441</v>
      </c>
      <c r="K68" s="72">
        <v>1</v>
      </c>
      <c r="L68" s="70">
        <v>247</v>
      </c>
      <c r="M68" s="70">
        <v>9.5</v>
      </c>
      <c r="N68" s="72" t="s">
        <v>442</v>
      </c>
      <c r="O68" s="73">
        <v>1200.0999999999999</v>
      </c>
      <c r="P68" s="70">
        <v>3</v>
      </c>
      <c r="Q68" s="120">
        <v>3000</v>
      </c>
      <c r="R68" s="74">
        <f>ROUND(L68*8.5*Q68/10000,)</f>
        <v>630</v>
      </c>
      <c r="S68" s="75">
        <v>0.6</v>
      </c>
      <c r="T68" s="73">
        <f>ROUND(O68*S68,0)</f>
        <v>720</v>
      </c>
      <c r="U68" s="73">
        <f t="shared" si="27"/>
        <v>630</v>
      </c>
      <c r="V68" s="73"/>
      <c r="W68" s="73">
        <v>352</v>
      </c>
      <c r="X68" s="73">
        <f t="shared" si="32"/>
        <v>278</v>
      </c>
      <c r="Y68" s="18">
        <f t="shared" si="4"/>
        <v>131.0195094760312</v>
      </c>
      <c r="Z68" s="73">
        <f t="shared" si="28"/>
        <v>131</v>
      </c>
      <c r="AA68" s="120"/>
    </row>
    <row r="69" spans="1:27" ht="31.5" customHeight="1">
      <c r="A69" s="73">
        <v>12</v>
      </c>
      <c r="B69" s="72"/>
      <c r="C69" s="72" t="s">
        <v>238</v>
      </c>
      <c r="D69" s="70" t="s">
        <v>443</v>
      </c>
      <c r="E69" s="71">
        <v>111.87173907</v>
      </c>
      <c r="F69" s="71">
        <v>28.780573969999999</v>
      </c>
      <c r="G69" s="70" t="s">
        <v>37</v>
      </c>
      <c r="H69" s="70" t="s">
        <v>38</v>
      </c>
      <c r="I69" s="70" t="s">
        <v>39</v>
      </c>
      <c r="J69" s="70" t="s">
        <v>40</v>
      </c>
      <c r="K69" s="70">
        <v>1</v>
      </c>
      <c r="L69" s="70">
        <v>106.12</v>
      </c>
      <c r="M69" s="70">
        <v>7</v>
      </c>
      <c r="N69" s="72" t="s">
        <v>444</v>
      </c>
      <c r="O69" s="73">
        <v>550.66769999999997</v>
      </c>
      <c r="P69" s="70">
        <v>3</v>
      </c>
      <c r="Q69" s="120">
        <v>3000</v>
      </c>
      <c r="R69" s="73">
        <f>ROUND(L69*M69*Q69/10000,)</f>
        <v>223</v>
      </c>
      <c r="S69" s="75">
        <v>0.6</v>
      </c>
      <c r="T69" s="73">
        <f>ROUND(O69*S69,0)</f>
        <v>330</v>
      </c>
      <c r="U69" s="73">
        <f t="shared" si="27"/>
        <v>223</v>
      </c>
      <c r="V69" s="73"/>
      <c r="W69" s="73">
        <v>111.5</v>
      </c>
      <c r="X69" s="73">
        <f t="shared" si="32"/>
        <v>111.5</v>
      </c>
      <c r="Y69" s="18">
        <f t="shared" si="4"/>
        <v>52.549191750278702</v>
      </c>
      <c r="Z69" s="73">
        <f t="shared" si="28"/>
        <v>53</v>
      </c>
      <c r="AA69" s="120"/>
    </row>
    <row r="70" spans="1:27" ht="31.5" customHeight="1">
      <c r="A70" s="73"/>
      <c r="B70" s="81" t="s">
        <v>445</v>
      </c>
      <c r="C70" s="76"/>
      <c r="D70" s="81"/>
      <c r="E70" s="84"/>
      <c r="F70" s="84"/>
      <c r="G70" s="81"/>
      <c r="H70" s="81"/>
      <c r="I70" s="81"/>
      <c r="J70" s="81"/>
      <c r="K70" s="81"/>
      <c r="L70" s="82">
        <f t="shared" ref="L70" si="35">SUM(L71:L73)</f>
        <v>244.22</v>
      </c>
      <c r="M70" s="82"/>
      <c r="N70" s="82"/>
      <c r="O70" s="82">
        <f t="shared" ref="O70:T70" si="36">SUM(O71:O73)</f>
        <v>997.23570000000007</v>
      </c>
      <c r="P70" s="82">
        <f t="shared" si="36"/>
        <v>3</v>
      </c>
      <c r="Q70" s="82">
        <f t="shared" si="36"/>
        <v>9000</v>
      </c>
      <c r="R70" s="82">
        <f t="shared" si="36"/>
        <v>549</v>
      </c>
      <c r="S70" s="82">
        <f t="shared" si="36"/>
        <v>2.5499999999999998</v>
      </c>
      <c r="T70" s="82">
        <f t="shared" si="36"/>
        <v>848</v>
      </c>
      <c r="U70" s="82">
        <f>SUM(U71:U73)</f>
        <v>549</v>
      </c>
      <c r="V70" s="82">
        <f t="shared" ref="V70:Z70" si="37">SUM(V71:V73)</f>
        <v>0</v>
      </c>
      <c r="W70" s="82">
        <f t="shared" si="37"/>
        <v>275</v>
      </c>
      <c r="X70" s="82">
        <f t="shared" si="37"/>
        <v>274.5</v>
      </c>
      <c r="Y70" s="82">
        <f t="shared" si="37"/>
        <v>129.36998327759196</v>
      </c>
      <c r="Z70" s="82">
        <f t="shared" si="37"/>
        <v>129</v>
      </c>
      <c r="AA70" s="120"/>
    </row>
    <row r="71" spans="1:27" ht="31.5" customHeight="1">
      <c r="A71" s="73">
        <v>13</v>
      </c>
      <c r="B71" s="72"/>
      <c r="C71" s="85" t="s">
        <v>106</v>
      </c>
      <c r="D71" s="70" t="s">
        <v>109</v>
      </c>
      <c r="E71" s="43">
        <v>110.45663333</v>
      </c>
      <c r="F71" s="43">
        <v>29.678016119999999</v>
      </c>
      <c r="G71" s="70" t="s">
        <v>110</v>
      </c>
      <c r="H71" s="85" t="s">
        <v>107</v>
      </c>
      <c r="I71" s="70" t="s">
        <v>111</v>
      </c>
      <c r="J71" s="85" t="s">
        <v>112</v>
      </c>
      <c r="K71" s="85"/>
      <c r="L71" s="70">
        <v>41</v>
      </c>
      <c r="M71" s="70">
        <v>7.5</v>
      </c>
      <c r="N71" s="72" t="s">
        <v>446</v>
      </c>
      <c r="O71" s="73">
        <v>165.80080000000001</v>
      </c>
      <c r="P71" s="86">
        <v>1</v>
      </c>
      <c r="Q71" s="120">
        <v>3000</v>
      </c>
      <c r="R71" s="73">
        <f>ROUND(L71*M71*Q71/10000,)</f>
        <v>92</v>
      </c>
      <c r="S71" s="75">
        <v>0.85</v>
      </c>
      <c r="T71" s="73">
        <f>ROUND(O71*S71,0)</f>
        <v>141</v>
      </c>
      <c r="U71" s="73">
        <f t="shared" si="27"/>
        <v>92</v>
      </c>
      <c r="V71" s="73"/>
      <c r="W71" s="73">
        <v>46</v>
      </c>
      <c r="X71" s="73">
        <f t="shared" si="32"/>
        <v>46</v>
      </c>
      <c r="Y71" s="18">
        <f t="shared" si="4"/>
        <v>21.679487179487179</v>
      </c>
      <c r="Z71" s="73">
        <f t="shared" si="28"/>
        <v>22</v>
      </c>
      <c r="AA71" s="120"/>
    </row>
    <row r="72" spans="1:27" s="2" customFormat="1" ht="36" customHeight="1">
      <c r="A72" s="73">
        <v>14</v>
      </c>
      <c r="B72" s="11"/>
      <c r="C72" s="5" t="s">
        <v>106</v>
      </c>
      <c r="D72" s="1" t="s">
        <v>113</v>
      </c>
      <c r="E72" s="3">
        <v>109.77420001</v>
      </c>
      <c r="F72" s="3">
        <v>29.60214788</v>
      </c>
      <c r="G72" s="1" t="s">
        <v>114</v>
      </c>
      <c r="H72" s="5" t="s">
        <v>107</v>
      </c>
      <c r="I72" s="1" t="s">
        <v>115</v>
      </c>
      <c r="J72" s="5" t="s">
        <v>108</v>
      </c>
      <c r="K72" s="5"/>
      <c r="L72" s="1">
        <v>112</v>
      </c>
      <c r="M72" s="1">
        <v>7.5</v>
      </c>
      <c r="N72" s="124" t="s">
        <v>472</v>
      </c>
      <c r="O72" s="7">
        <v>439.76920000000001</v>
      </c>
      <c r="P72" s="4">
        <v>1</v>
      </c>
      <c r="Q72" s="123">
        <v>3000</v>
      </c>
      <c r="R72" s="7">
        <f>ROUND(L72*M72*Q72/10000,)</f>
        <v>252</v>
      </c>
      <c r="S72" s="9">
        <v>0.85</v>
      </c>
      <c r="T72" s="7">
        <f>ROUND(O72*S72,0)</f>
        <v>374</v>
      </c>
      <c r="U72" s="73">
        <f t="shared" si="27"/>
        <v>252</v>
      </c>
      <c r="V72" s="7"/>
      <c r="W72" s="7">
        <v>126</v>
      </c>
      <c r="X72" s="7">
        <f t="shared" ref="X72:X73" si="38">U72/2</f>
        <v>126</v>
      </c>
      <c r="Y72" s="18">
        <f t="shared" ref="Y72:Y94" si="39">X72/7176*3382</f>
        <v>59.382943143812703</v>
      </c>
      <c r="Z72" s="73">
        <f t="shared" si="28"/>
        <v>59</v>
      </c>
      <c r="AA72" s="124" t="s">
        <v>148</v>
      </c>
    </row>
    <row r="73" spans="1:27" s="2" customFormat="1" ht="30.75" customHeight="1">
      <c r="A73" s="73">
        <v>15</v>
      </c>
      <c r="B73" s="11"/>
      <c r="C73" s="5" t="s">
        <v>106</v>
      </c>
      <c r="D73" s="1" t="s">
        <v>116</v>
      </c>
      <c r="E73" s="3">
        <v>110.00271582000001</v>
      </c>
      <c r="F73" s="3">
        <v>29.46989516</v>
      </c>
      <c r="G73" s="1" t="s">
        <v>117</v>
      </c>
      <c r="H73" s="5" t="s">
        <v>107</v>
      </c>
      <c r="I73" s="1" t="s">
        <v>118</v>
      </c>
      <c r="J73" s="5" t="s">
        <v>108</v>
      </c>
      <c r="K73" s="5"/>
      <c r="L73" s="1">
        <v>91.22</v>
      </c>
      <c r="M73" s="1">
        <v>7.5</v>
      </c>
      <c r="N73" s="124" t="s">
        <v>473</v>
      </c>
      <c r="O73" s="7">
        <v>391.66570000000002</v>
      </c>
      <c r="P73" s="4">
        <v>1</v>
      </c>
      <c r="Q73" s="123">
        <v>3000</v>
      </c>
      <c r="R73" s="7">
        <f>ROUND(L73*M73*Q73/10000,)</f>
        <v>205</v>
      </c>
      <c r="S73" s="9">
        <v>0.85</v>
      </c>
      <c r="T73" s="7">
        <f>ROUND(O73*S73,0)</f>
        <v>333</v>
      </c>
      <c r="U73" s="73">
        <f t="shared" si="27"/>
        <v>205</v>
      </c>
      <c r="V73" s="7"/>
      <c r="W73" s="7">
        <v>103</v>
      </c>
      <c r="X73" s="7">
        <f t="shared" si="38"/>
        <v>102.5</v>
      </c>
      <c r="Y73" s="18">
        <f t="shared" si="39"/>
        <v>48.307552954292085</v>
      </c>
      <c r="Z73" s="73">
        <f t="shared" si="28"/>
        <v>48</v>
      </c>
      <c r="AA73" s="10"/>
    </row>
    <row r="74" spans="1:27" ht="31.5" customHeight="1">
      <c r="A74" s="73"/>
      <c r="B74" s="76" t="s">
        <v>447</v>
      </c>
      <c r="C74" s="87"/>
      <c r="D74" s="81"/>
      <c r="E74" s="88"/>
      <c r="F74" s="88"/>
      <c r="G74" s="81"/>
      <c r="H74" s="87"/>
      <c r="I74" s="81"/>
      <c r="J74" s="87"/>
      <c r="K74" s="87"/>
      <c r="L74" s="81">
        <f>SUM(L75:L76)</f>
        <v>311.68</v>
      </c>
      <c r="M74" s="81"/>
      <c r="N74" s="76"/>
      <c r="O74" s="82">
        <f>SUM(O75:O76)</f>
        <v>3196.6800000000003</v>
      </c>
      <c r="P74" s="89"/>
      <c r="Q74" s="16"/>
      <c r="R74" s="82">
        <f>SUM(R75:R76)</f>
        <v>816</v>
      </c>
      <c r="S74" s="83"/>
      <c r="T74" s="82"/>
      <c r="U74" s="82">
        <f t="shared" ref="U74:Z74" si="40">U75+U76</f>
        <v>816</v>
      </c>
      <c r="V74" s="82">
        <f t="shared" si="40"/>
        <v>0</v>
      </c>
      <c r="W74" s="82">
        <f t="shared" si="40"/>
        <v>408</v>
      </c>
      <c r="X74" s="82">
        <f t="shared" si="40"/>
        <v>408</v>
      </c>
      <c r="Y74" s="18">
        <f t="shared" si="39"/>
        <v>192.2876254180602</v>
      </c>
      <c r="Z74" s="82">
        <f t="shared" si="40"/>
        <v>193</v>
      </c>
      <c r="AA74" s="120"/>
    </row>
    <row r="75" spans="1:27" ht="31.5" customHeight="1">
      <c r="A75" s="73">
        <v>16</v>
      </c>
      <c r="B75" s="72"/>
      <c r="C75" s="6" t="s">
        <v>66</v>
      </c>
      <c r="D75" s="6" t="s">
        <v>448</v>
      </c>
      <c r="E75" s="90">
        <v>110.984388888889</v>
      </c>
      <c r="F75" s="90">
        <v>28.2769166666667</v>
      </c>
      <c r="G75" s="6" t="s">
        <v>119</v>
      </c>
      <c r="H75" s="6" t="s">
        <v>120</v>
      </c>
      <c r="I75" s="6" t="s">
        <v>121</v>
      </c>
      <c r="J75" s="6" t="s">
        <v>122</v>
      </c>
      <c r="K75" s="6" t="s">
        <v>163</v>
      </c>
      <c r="L75" s="6">
        <v>83.68</v>
      </c>
      <c r="M75" s="6">
        <v>5.5</v>
      </c>
      <c r="N75" s="72" t="s">
        <v>449</v>
      </c>
      <c r="O75" s="8">
        <v>175.8</v>
      </c>
      <c r="P75" s="86">
        <v>1</v>
      </c>
      <c r="Q75" s="120">
        <v>3000</v>
      </c>
      <c r="R75" s="73">
        <f>ROUND(L75*M75*Q75/10000,)</f>
        <v>138</v>
      </c>
      <c r="S75" s="75">
        <v>0.85</v>
      </c>
      <c r="T75" s="73">
        <f>ROUND(O75*S75,0)</f>
        <v>149</v>
      </c>
      <c r="U75" s="73">
        <f t="shared" si="27"/>
        <v>138</v>
      </c>
      <c r="V75" s="73"/>
      <c r="W75" s="73">
        <v>69</v>
      </c>
      <c r="X75" s="73">
        <f t="shared" si="32"/>
        <v>69</v>
      </c>
      <c r="Y75" s="18">
        <f t="shared" si="39"/>
        <v>32.519230769230774</v>
      </c>
      <c r="Z75" s="73">
        <f t="shared" si="28"/>
        <v>33</v>
      </c>
      <c r="AA75" s="120"/>
    </row>
    <row r="76" spans="1:27" ht="31.5" customHeight="1">
      <c r="A76" s="73">
        <v>17</v>
      </c>
      <c r="B76" s="72"/>
      <c r="C76" s="72" t="s">
        <v>66</v>
      </c>
      <c r="D76" s="72" t="s">
        <v>450</v>
      </c>
      <c r="E76" s="71">
        <v>111.048166666667</v>
      </c>
      <c r="F76" s="71">
        <v>28.057916666666699</v>
      </c>
      <c r="G76" s="72" t="s">
        <v>123</v>
      </c>
      <c r="H76" s="72" t="s">
        <v>120</v>
      </c>
      <c r="I76" s="72" t="s">
        <v>124</v>
      </c>
      <c r="J76" s="72" t="s">
        <v>122</v>
      </c>
      <c r="K76" s="72" t="s">
        <v>163</v>
      </c>
      <c r="L76" s="72">
        <v>228</v>
      </c>
      <c r="M76" s="72">
        <v>8.5</v>
      </c>
      <c r="N76" s="72" t="s">
        <v>451</v>
      </c>
      <c r="O76" s="120">
        <v>3020.88</v>
      </c>
      <c r="P76" s="86">
        <v>1</v>
      </c>
      <c r="Q76" s="120">
        <v>3500</v>
      </c>
      <c r="R76" s="73">
        <f>ROUND(L76*M76*Q76/10000,)</f>
        <v>678</v>
      </c>
      <c r="S76" s="75">
        <v>0.85</v>
      </c>
      <c r="T76" s="73">
        <f t="shared" ref="T76" si="41">ROUND(O76*S76,0)</f>
        <v>2568</v>
      </c>
      <c r="U76" s="73">
        <f t="shared" si="27"/>
        <v>678</v>
      </c>
      <c r="V76" s="73"/>
      <c r="W76" s="73">
        <v>339</v>
      </c>
      <c r="X76" s="73">
        <f t="shared" si="32"/>
        <v>339</v>
      </c>
      <c r="Y76" s="18">
        <f t="shared" si="39"/>
        <v>159.76839464882943</v>
      </c>
      <c r="Z76" s="73">
        <f t="shared" si="28"/>
        <v>160</v>
      </c>
      <c r="AA76" s="120"/>
    </row>
    <row r="77" spans="1:27" ht="27" customHeight="1">
      <c r="A77" s="73"/>
      <c r="B77" s="81" t="s">
        <v>452</v>
      </c>
      <c r="C77" s="81"/>
      <c r="D77" s="81"/>
      <c r="E77" s="81"/>
      <c r="F77" s="81"/>
      <c r="G77" s="76"/>
      <c r="H77" s="76"/>
      <c r="I77" s="76"/>
      <c r="J77" s="76"/>
      <c r="K77" s="76"/>
      <c r="L77" s="112">
        <f>SUM(L78:L84)</f>
        <v>648.92000000000007</v>
      </c>
      <c r="M77" s="112"/>
      <c r="N77" s="76"/>
      <c r="O77" s="82">
        <f>SUM(O78:O84)</f>
        <v>2536.4899999999998</v>
      </c>
      <c r="P77" s="112"/>
      <c r="Q77" s="82"/>
      <c r="R77" s="82">
        <f>SUM(R78:R84)</f>
        <v>1282</v>
      </c>
      <c r="S77" s="83"/>
      <c r="T77" s="73"/>
      <c r="U77" s="82">
        <f>SUM(U78:U84)</f>
        <v>1282</v>
      </c>
      <c r="V77" s="82">
        <f>SUM(V78:V84)</f>
        <v>0</v>
      </c>
      <c r="W77" s="82">
        <f>SUM(W78:W84)</f>
        <v>650</v>
      </c>
      <c r="X77" s="82">
        <f>SUM(X78:X84)</f>
        <v>632</v>
      </c>
      <c r="Y77" s="18">
        <f t="shared" si="39"/>
        <v>297.85730211817167</v>
      </c>
      <c r="Z77" s="82">
        <f t="shared" ref="Z77" si="42">SUM(Z78:Z84)</f>
        <v>298</v>
      </c>
      <c r="AA77" s="120"/>
    </row>
    <row r="78" spans="1:27" ht="32.25" customHeight="1">
      <c r="A78" s="73">
        <v>18</v>
      </c>
      <c r="B78" s="91"/>
      <c r="C78" s="91" t="s">
        <v>12</v>
      </c>
      <c r="D78" s="91" t="s">
        <v>18</v>
      </c>
      <c r="E78" s="92">
        <v>111.67187101</v>
      </c>
      <c r="F78" s="92">
        <v>26.098336029999999</v>
      </c>
      <c r="G78" s="91" t="s">
        <v>13</v>
      </c>
      <c r="H78" s="70" t="s">
        <v>48</v>
      </c>
      <c r="I78" s="91" t="s">
        <v>19</v>
      </c>
      <c r="J78" s="91" t="s">
        <v>14</v>
      </c>
      <c r="K78" s="91"/>
      <c r="L78" s="91">
        <v>45.04</v>
      </c>
      <c r="M78" s="91">
        <v>7.5</v>
      </c>
      <c r="N78" s="91" t="s">
        <v>453</v>
      </c>
      <c r="O78" s="121">
        <v>155.96</v>
      </c>
      <c r="P78" s="91">
        <v>3</v>
      </c>
      <c r="Q78" s="121">
        <v>2000</v>
      </c>
      <c r="R78" s="73">
        <f t="shared" ref="R78:R82" si="43">ROUND(L78*M78*Q78/10000,)</f>
        <v>68</v>
      </c>
      <c r="S78" s="75">
        <v>0.6</v>
      </c>
      <c r="T78" s="73">
        <f t="shared" ref="T78:T84" si="44">ROUND(O78*S78,0)</f>
        <v>94</v>
      </c>
      <c r="U78" s="73">
        <f t="shared" si="27"/>
        <v>68</v>
      </c>
      <c r="V78" s="73"/>
      <c r="W78" s="73">
        <v>34</v>
      </c>
      <c r="X78" s="73">
        <f t="shared" si="32"/>
        <v>34</v>
      </c>
      <c r="Y78" s="18">
        <f t="shared" si="39"/>
        <v>16.023968784838349</v>
      </c>
      <c r="Z78" s="73">
        <f t="shared" si="28"/>
        <v>16</v>
      </c>
      <c r="AA78" s="120"/>
    </row>
    <row r="79" spans="1:27" ht="32.25" customHeight="1">
      <c r="A79" s="73">
        <v>19</v>
      </c>
      <c r="B79" s="91"/>
      <c r="C79" s="91" t="s">
        <v>12</v>
      </c>
      <c r="D79" s="91" t="s">
        <v>174</v>
      </c>
      <c r="E79" s="92">
        <v>111.65535111</v>
      </c>
      <c r="F79" s="92">
        <v>26.089549009999999</v>
      </c>
      <c r="G79" s="91" t="s">
        <v>13</v>
      </c>
      <c r="H79" s="70" t="s">
        <v>48</v>
      </c>
      <c r="I79" s="91" t="s">
        <v>175</v>
      </c>
      <c r="J79" s="91" t="s">
        <v>14</v>
      </c>
      <c r="K79" s="91"/>
      <c r="L79" s="91">
        <v>85.12</v>
      </c>
      <c r="M79" s="91">
        <v>7.5</v>
      </c>
      <c r="N79" s="91" t="s">
        <v>454</v>
      </c>
      <c r="O79" s="121">
        <v>286.62</v>
      </c>
      <c r="P79" s="91">
        <v>3</v>
      </c>
      <c r="Q79" s="121">
        <v>2000</v>
      </c>
      <c r="R79" s="73">
        <f t="shared" si="43"/>
        <v>128</v>
      </c>
      <c r="S79" s="75">
        <v>0.6</v>
      </c>
      <c r="T79" s="73">
        <f t="shared" si="44"/>
        <v>172</v>
      </c>
      <c r="U79" s="73">
        <f t="shared" si="27"/>
        <v>128</v>
      </c>
      <c r="V79" s="73"/>
      <c r="W79" s="73">
        <v>64</v>
      </c>
      <c r="X79" s="73">
        <f t="shared" si="32"/>
        <v>64</v>
      </c>
      <c r="Y79" s="18">
        <f t="shared" si="39"/>
        <v>30.162764771460424</v>
      </c>
      <c r="Z79" s="73">
        <f t="shared" si="28"/>
        <v>30</v>
      </c>
      <c r="AA79" s="120"/>
    </row>
    <row r="80" spans="1:27" ht="32.25" customHeight="1">
      <c r="A80" s="73">
        <v>20</v>
      </c>
      <c r="B80" s="91"/>
      <c r="C80" s="91" t="s">
        <v>12</v>
      </c>
      <c r="D80" s="91" t="s">
        <v>176</v>
      </c>
      <c r="E80" s="92">
        <v>111.80677213</v>
      </c>
      <c r="F80" s="92">
        <v>26.345757039999999</v>
      </c>
      <c r="G80" s="91" t="s">
        <v>177</v>
      </c>
      <c r="H80" s="70" t="s">
        <v>48</v>
      </c>
      <c r="I80" s="91" t="s">
        <v>178</v>
      </c>
      <c r="J80" s="91" t="s">
        <v>179</v>
      </c>
      <c r="K80" s="91"/>
      <c r="L80" s="91">
        <v>85.12</v>
      </c>
      <c r="M80" s="91">
        <v>7.5</v>
      </c>
      <c r="N80" s="91" t="s">
        <v>455</v>
      </c>
      <c r="O80" s="121">
        <v>286.67</v>
      </c>
      <c r="P80" s="91">
        <v>3</v>
      </c>
      <c r="Q80" s="121">
        <v>2000</v>
      </c>
      <c r="R80" s="73">
        <f t="shared" si="43"/>
        <v>128</v>
      </c>
      <c r="S80" s="75">
        <v>0.6</v>
      </c>
      <c r="T80" s="73">
        <f t="shared" si="44"/>
        <v>172</v>
      </c>
      <c r="U80" s="73">
        <f t="shared" si="27"/>
        <v>128</v>
      </c>
      <c r="V80" s="73"/>
      <c r="W80" s="73">
        <v>64</v>
      </c>
      <c r="X80" s="73">
        <f t="shared" si="32"/>
        <v>64</v>
      </c>
      <c r="Y80" s="18">
        <f t="shared" si="39"/>
        <v>30.162764771460424</v>
      </c>
      <c r="Z80" s="73">
        <f t="shared" si="28"/>
        <v>30</v>
      </c>
      <c r="AA80" s="120"/>
    </row>
    <row r="81" spans="1:27" ht="32.25" customHeight="1">
      <c r="A81" s="73">
        <v>21</v>
      </c>
      <c r="B81" s="91"/>
      <c r="C81" s="72" t="s">
        <v>125</v>
      </c>
      <c r="D81" s="72" t="s">
        <v>127</v>
      </c>
      <c r="E81" s="43">
        <v>111.5778</v>
      </c>
      <c r="F81" s="71">
        <v>26.7471</v>
      </c>
      <c r="G81" s="72" t="s">
        <v>128</v>
      </c>
      <c r="H81" s="72" t="s">
        <v>48</v>
      </c>
      <c r="I81" s="72" t="s">
        <v>129</v>
      </c>
      <c r="J81" s="72" t="s">
        <v>126</v>
      </c>
      <c r="K81" s="72"/>
      <c r="L81" s="72">
        <v>68</v>
      </c>
      <c r="M81" s="72">
        <v>7.5</v>
      </c>
      <c r="N81" s="91" t="s">
        <v>467</v>
      </c>
      <c r="O81" s="120">
        <v>205.64</v>
      </c>
      <c r="P81" s="91">
        <v>3</v>
      </c>
      <c r="Q81" s="121">
        <v>2000</v>
      </c>
      <c r="R81" s="73">
        <f t="shared" si="43"/>
        <v>102</v>
      </c>
      <c r="S81" s="75">
        <v>0.6</v>
      </c>
      <c r="T81" s="73">
        <f t="shared" si="44"/>
        <v>123</v>
      </c>
      <c r="U81" s="73">
        <f t="shared" si="27"/>
        <v>102</v>
      </c>
      <c r="V81" s="73"/>
      <c r="W81" s="73">
        <v>51</v>
      </c>
      <c r="X81" s="73">
        <f t="shared" si="32"/>
        <v>51</v>
      </c>
      <c r="Y81" s="18">
        <f t="shared" si="39"/>
        <v>24.035953177257525</v>
      </c>
      <c r="Z81" s="73">
        <f t="shared" si="28"/>
        <v>24</v>
      </c>
      <c r="AA81" s="120"/>
    </row>
    <row r="82" spans="1:27" ht="32.25" customHeight="1">
      <c r="A82" s="73">
        <v>22</v>
      </c>
      <c r="B82" s="91"/>
      <c r="C82" s="91" t="s">
        <v>17</v>
      </c>
      <c r="D82" s="91" t="s">
        <v>20</v>
      </c>
      <c r="E82" s="92">
        <v>111.06565836</v>
      </c>
      <c r="F82" s="92">
        <v>26.326261639999998</v>
      </c>
      <c r="G82" s="91" t="s">
        <v>21</v>
      </c>
      <c r="H82" s="72" t="s">
        <v>48</v>
      </c>
      <c r="I82" s="91" t="s">
        <v>22</v>
      </c>
      <c r="J82" s="91" t="s">
        <v>23</v>
      </c>
      <c r="K82" s="91"/>
      <c r="L82" s="91">
        <v>55.04</v>
      </c>
      <c r="M82" s="91">
        <v>7</v>
      </c>
      <c r="N82" s="91" t="s">
        <v>456</v>
      </c>
      <c r="O82" s="121">
        <v>177.53</v>
      </c>
      <c r="P82" s="91">
        <v>3</v>
      </c>
      <c r="Q82" s="121">
        <v>2000</v>
      </c>
      <c r="R82" s="73">
        <f t="shared" si="43"/>
        <v>77</v>
      </c>
      <c r="S82" s="75">
        <v>0.6</v>
      </c>
      <c r="T82" s="73">
        <f t="shared" si="44"/>
        <v>107</v>
      </c>
      <c r="U82" s="73">
        <f t="shared" si="27"/>
        <v>77</v>
      </c>
      <c r="V82" s="73"/>
      <c r="W82" s="73">
        <v>38.5</v>
      </c>
      <c r="X82" s="73">
        <f t="shared" si="32"/>
        <v>38.5</v>
      </c>
      <c r="Y82" s="18">
        <f t="shared" si="39"/>
        <v>18.144788182831661</v>
      </c>
      <c r="Z82" s="73">
        <f t="shared" si="28"/>
        <v>18</v>
      </c>
      <c r="AA82" s="120"/>
    </row>
    <row r="83" spans="1:27" ht="32.25" customHeight="1">
      <c r="A83" s="73">
        <v>23</v>
      </c>
      <c r="B83" s="91"/>
      <c r="C83" s="72" t="s">
        <v>42</v>
      </c>
      <c r="D83" s="72" t="s">
        <v>43</v>
      </c>
      <c r="E83" s="43">
        <v>111.71120000000001</v>
      </c>
      <c r="F83" s="71">
        <v>25.810500000000001</v>
      </c>
      <c r="G83" s="72" t="s">
        <v>44</v>
      </c>
      <c r="H83" s="72" t="s">
        <v>45</v>
      </c>
      <c r="I83" s="72" t="s">
        <v>46</v>
      </c>
      <c r="J83" s="72" t="s">
        <v>47</v>
      </c>
      <c r="K83" s="72">
        <v>1</v>
      </c>
      <c r="L83" s="91">
        <v>104.48</v>
      </c>
      <c r="M83" s="91">
        <v>9</v>
      </c>
      <c r="N83" s="91" t="s">
        <v>468</v>
      </c>
      <c r="O83" s="121">
        <v>402.76</v>
      </c>
      <c r="P83" s="91">
        <v>2</v>
      </c>
      <c r="Q83" s="121">
        <v>3200</v>
      </c>
      <c r="R83" s="74">
        <f>ROUND(L83*8.5*Q83/10000,)</f>
        <v>284</v>
      </c>
      <c r="S83" s="75">
        <v>0.75</v>
      </c>
      <c r="T83" s="73">
        <f t="shared" si="44"/>
        <v>302</v>
      </c>
      <c r="U83" s="73">
        <f t="shared" si="27"/>
        <v>284</v>
      </c>
      <c r="V83" s="73"/>
      <c r="W83" s="73">
        <v>151</v>
      </c>
      <c r="X83" s="73">
        <f t="shared" si="32"/>
        <v>133</v>
      </c>
      <c r="Y83" s="18">
        <f t="shared" si="39"/>
        <v>62.681995540691197</v>
      </c>
      <c r="Z83" s="73">
        <f t="shared" si="28"/>
        <v>63</v>
      </c>
      <c r="AA83" s="120"/>
    </row>
    <row r="84" spans="1:27" ht="32.25" customHeight="1">
      <c r="A84" s="73">
        <v>24</v>
      </c>
      <c r="B84" s="91"/>
      <c r="C84" s="72" t="s">
        <v>15</v>
      </c>
      <c r="D84" s="72" t="s">
        <v>50</v>
      </c>
      <c r="E84" s="43">
        <v>111.79080956</v>
      </c>
      <c r="F84" s="71">
        <v>25.394475530000001</v>
      </c>
      <c r="G84" s="72" t="s">
        <v>51</v>
      </c>
      <c r="H84" s="72" t="s">
        <v>48</v>
      </c>
      <c r="I84" s="72" t="s">
        <v>52</v>
      </c>
      <c r="J84" s="72" t="s">
        <v>49</v>
      </c>
      <c r="K84" s="72">
        <v>1</v>
      </c>
      <c r="L84" s="91">
        <v>206.12</v>
      </c>
      <c r="M84" s="91">
        <v>8</v>
      </c>
      <c r="N84" s="91" t="s">
        <v>469</v>
      </c>
      <c r="O84" s="121">
        <v>1021.31</v>
      </c>
      <c r="P84" s="91">
        <v>3</v>
      </c>
      <c r="Q84" s="121">
        <v>3000</v>
      </c>
      <c r="R84" s="73">
        <f>ROUND(L84*M84*Q84/10000,)</f>
        <v>495</v>
      </c>
      <c r="S84" s="75">
        <v>0.6</v>
      </c>
      <c r="T84" s="73">
        <f t="shared" si="44"/>
        <v>613</v>
      </c>
      <c r="U84" s="73">
        <f t="shared" si="27"/>
        <v>495</v>
      </c>
      <c r="V84" s="73"/>
      <c r="W84" s="73">
        <v>247.5</v>
      </c>
      <c r="X84" s="73">
        <f t="shared" si="32"/>
        <v>247.5</v>
      </c>
      <c r="Y84" s="18">
        <f t="shared" si="39"/>
        <v>116.6450668896321</v>
      </c>
      <c r="Z84" s="73">
        <f t="shared" si="28"/>
        <v>117</v>
      </c>
      <c r="AA84" s="120"/>
    </row>
    <row r="85" spans="1:27" ht="23.25" customHeight="1">
      <c r="A85" s="73"/>
      <c r="B85" s="81" t="s">
        <v>457</v>
      </c>
      <c r="C85" s="81"/>
      <c r="D85" s="81"/>
      <c r="E85" s="81"/>
      <c r="F85" s="81"/>
      <c r="G85" s="76"/>
      <c r="H85" s="76"/>
      <c r="I85" s="76"/>
      <c r="J85" s="76"/>
      <c r="K85" s="76"/>
      <c r="L85" s="82">
        <f>SUM(L86:L87)</f>
        <v>235.95999999999998</v>
      </c>
      <c r="M85" s="82"/>
      <c r="N85" s="82"/>
      <c r="O85" s="82">
        <f>SUM(O86:O87)</f>
        <v>1025.3001999999999</v>
      </c>
      <c r="P85" s="82"/>
      <c r="Q85" s="82"/>
      <c r="R85" s="82">
        <f>SUM(R86:R87)</f>
        <v>610</v>
      </c>
      <c r="S85" s="82"/>
      <c r="T85" s="82"/>
      <c r="U85" s="82">
        <f t="shared" ref="U85:V85" si="45">SUM(U86:U87)</f>
        <v>610</v>
      </c>
      <c r="V85" s="82">
        <f t="shared" si="45"/>
        <v>0</v>
      </c>
      <c r="W85" s="82">
        <f>SUM(W86:W87)</f>
        <v>305</v>
      </c>
      <c r="X85" s="82">
        <f>SUM(X86:X87)</f>
        <v>305</v>
      </c>
      <c r="Y85" s="18">
        <f t="shared" si="39"/>
        <v>143.74442586399107</v>
      </c>
      <c r="Z85" s="82">
        <f t="shared" ref="Z85" si="46">SUM(Z86:Z87)</f>
        <v>144</v>
      </c>
      <c r="AA85" s="120"/>
    </row>
    <row r="86" spans="1:27" ht="33" customHeight="1">
      <c r="A86" s="73">
        <v>25</v>
      </c>
      <c r="B86" s="70"/>
      <c r="C86" s="72" t="s">
        <v>130</v>
      </c>
      <c r="D86" s="72" t="s">
        <v>131</v>
      </c>
      <c r="E86" s="43" t="s">
        <v>132</v>
      </c>
      <c r="F86" s="43" t="s">
        <v>133</v>
      </c>
      <c r="G86" s="72" t="s">
        <v>134</v>
      </c>
      <c r="H86" s="72" t="s">
        <v>41</v>
      </c>
      <c r="I86" s="72" t="s">
        <v>135</v>
      </c>
      <c r="J86" s="72" t="s">
        <v>136</v>
      </c>
      <c r="K86" s="72">
        <v>1</v>
      </c>
      <c r="L86" s="72">
        <v>125.08</v>
      </c>
      <c r="M86" s="72">
        <v>7.5</v>
      </c>
      <c r="N86" s="72" t="s">
        <v>458</v>
      </c>
      <c r="O86" s="120">
        <v>603.42319999999995</v>
      </c>
      <c r="P86" s="72">
        <v>2</v>
      </c>
      <c r="Q86" s="73">
        <v>3200</v>
      </c>
      <c r="R86" s="73">
        <f>ROUND(L86*M86*Q86/10000,)</f>
        <v>300</v>
      </c>
      <c r="S86" s="75">
        <v>0.75</v>
      </c>
      <c r="T86" s="73">
        <f t="shared" ref="T86:T87" si="47">ROUND(O86*S86,0)</f>
        <v>453</v>
      </c>
      <c r="U86" s="73">
        <f t="shared" si="27"/>
        <v>300</v>
      </c>
      <c r="V86" s="73"/>
      <c r="W86" s="73">
        <v>150</v>
      </c>
      <c r="X86" s="73">
        <f t="shared" si="32"/>
        <v>150</v>
      </c>
      <c r="Y86" s="18">
        <f t="shared" si="39"/>
        <v>70.69397993311037</v>
      </c>
      <c r="Z86" s="73">
        <f t="shared" si="28"/>
        <v>71</v>
      </c>
      <c r="AA86" s="120"/>
    </row>
    <row r="87" spans="1:27" ht="33" customHeight="1">
      <c r="A87" s="73">
        <v>26</v>
      </c>
      <c r="B87" s="70"/>
      <c r="C87" s="72" t="s">
        <v>169</v>
      </c>
      <c r="D87" s="72" t="s">
        <v>170</v>
      </c>
      <c r="E87" s="43">
        <v>111.79779833000001</v>
      </c>
      <c r="F87" s="43">
        <v>27.811146659999999</v>
      </c>
      <c r="G87" s="72" t="s">
        <v>171</v>
      </c>
      <c r="H87" s="72" t="s">
        <v>41</v>
      </c>
      <c r="I87" s="72" t="s">
        <v>172</v>
      </c>
      <c r="J87" s="72" t="s">
        <v>173</v>
      </c>
      <c r="K87" s="70"/>
      <c r="L87" s="70">
        <v>110.88</v>
      </c>
      <c r="M87" s="70">
        <v>8</v>
      </c>
      <c r="N87" s="72" t="s">
        <v>459</v>
      </c>
      <c r="O87" s="73">
        <v>421.87700000000001</v>
      </c>
      <c r="P87" s="70">
        <v>1</v>
      </c>
      <c r="Q87" s="73">
        <v>3500</v>
      </c>
      <c r="R87" s="73">
        <f>ROUND(M87*L87*Q87/10000,)</f>
        <v>310</v>
      </c>
      <c r="S87" s="75">
        <v>0.85</v>
      </c>
      <c r="T87" s="73">
        <f t="shared" si="47"/>
        <v>359</v>
      </c>
      <c r="U87" s="73">
        <f t="shared" si="27"/>
        <v>310</v>
      </c>
      <c r="V87" s="73"/>
      <c r="W87" s="73">
        <v>155</v>
      </c>
      <c r="X87" s="73">
        <f t="shared" si="32"/>
        <v>155</v>
      </c>
      <c r="Y87" s="18">
        <f t="shared" si="39"/>
        <v>73.050445930880713</v>
      </c>
      <c r="Z87" s="73">
        <f t="shared" si="28"/>
        <v>73</v>
      </c>
      <c r="AA87" s="120"/>
    </row>
    <row r="88" spans="1:27" ht="23.25" customHeight="1">
      <c r="A88" s="73"/>
      <c r="B88" s="81" t="s">
        <v>180</v>
      </c>
      <c r="C88" s="81"/>
      <c r="D88" s="81"/>
      <c r="E88" s="81"/>
      <c r="F88" s="81"/>
      <c r="G88" s="76"/>
      <c r="H88" s="76"/>
      <c r="I88" s="76"/>
      <c r="J88" s="76"/>
      <c r="K88" s="76"/>
      <c r="L88" s="112">
        <f>SUM(L89:L94)</f>
        <v>951.04</v>
      </c>
      <c r="M88" s="112"/>
      <c r="N88" s="76"/>
      <c r="O88" s="82">
        <f>SUM(O89:O94)</f>
        <v>12387.305600000002</v>
      </c>
      <c r="P88" s="112"/>
      <c r="Q88" s="82"/>
      <c r="R88" s="82">
        <f>SUM(R89:R94)</f>
        <v>3009</v>
      </c>
      <c r="S88" s="83"/>
      <c r="T88" s="73"/>
      <c r="U88" s="82">
        <f t="shared" ref="U88:V88" si="48">SUM(U89:U94)</f>
        <v>3009</v>
      </c>
      <c r="V88" s="82">
        <f t="shared" si="48"/>
        <v>8237.1703999999991</v>
      </c>
      <c r="W88" s="82">
        <f>SUM(W89:W94)</f>
        <v>1652</v>
      </c>
      <c r="X88" s="82">
        <f>SUM(X89:X94)</f>
        <v>302</v>
      </c>
      <c r="Y88" s="18">
        <f t="shared" si="39"/>
        <v>142.33054626532888</v>
      </c>
      <c r="Z88" s="82">
        <f t="shared" ref="Z88" si="49">SUM(Z89:Z94)</f>
        <v>1198</v>
      </c>
      <c r="AA88" s="120"/>
    </row>
    <row r="89" spans="1:27" ht="38.25" customHeight="1">
      <c r="A89" s="73">
        <v>27</v>
      </c>
      <c r="B89" s="93"/>
      <c r="C89" s="79" t="s">
        <v>26</v>
      </c>
      <c r="D89" s="79" t="s">
        <v>151</v>
      </c>
      <c r="E89" s="71">
        <v>110.68722694</v>
      </c>
      <c r="F89" s="44">
        <v>28.530017220000001</v>
      </c>
      <c r="G89" s="94" t="s">
        <v>152</v>
      </c>
      <c r="H89" s="95" t="s">
        <v>34</v>
      </c>
      <c r="I89" s="94" t="s">
        <v>153</v>
      </c>
      <c r="J89" s="94" t="s">
        <v>154</v>
      </c>
      <c r="K89" s="79"/>
      <c r="L89" s="95">
        <v>66</v>
      </c>
      <c r="M89" s="95">
        <v>5.5</v>
      </c>
      <c r="N89" s="96" t="s">
        <v>460</v>
      </c>
      <c r="O89" s="19">
        <v>177.73699999999999</v>
      </c>
      <c r="P89" s="70">
        <v>1</v>
      </c>
      <c r="Q89" s="73">
        <v>3000</v>
      </c>
      <c r="R89" s="73">
        <f t="shared" ref="R89:R93" si="50">ROUND(L89*M89*Q89/10000,)</f>
        <v>109</v>
      </c>
      <c r="S89" s="75">
        <v>0.85</v>
      </c>
      <c r="T89" s="73">
        <f t="shared" ref="T89:T94" si="51">ROUND(O89*S89,0)</f>
        <v>151</v>
      </c>
      <c r="U89" s="73">
        <f t="shared" si="27"/>
        <v>109</v>
      </c>
      <c r="V89" s="73"/>
      <c r="W89" s="73">
        <v>54.5</v>
      </c>
      <c r="X89" s="73">
        <f t="shared" si="32"/>
        <v>54.5</v>
      </c>
      <c r="Y89" s="18">
        <f t="shared" si="39"/>
        <v>25.685479375696765</v>
      </c>
      <c r="Z89" s="73">
        <f t="shared" si="28"/>
        <v>26</v>
      </c>
      <c r="AA89" s="120"/>
    </row>
    <row r="90" spans="1:27" s="41" customFormat="1" ht="38.25" customHeight="1">
      <c r="A90" s="73">
        <v>28</v>
      </c>
      <c r="B90" s="119"/>
      <c r="C90" s="19" t="s">
        <v>26</v>
      </c>
      <c r="D90" s="19" t="s">
        <v>53</v>
      </c>
      <c r="E90" s="43">
        <v>110.29835306</v>
      </c>
      <c r="F90" s="44">
        <v>28.34700222</v>
      </c>
      <c r="G90" s="19" t="s">
        <v>27</v>
      </c>
      <c r="H90" s="19" t="s">
        <v>41</v>
      </c>
      <c r="I90" s="19" t="s">
        <v>54</v>
      </c>
      <c r="J90" s="19" t="s">
        <v>55</v>
      </c>
      <c r="K90" s="19" t="s">
        <v>150</v>
      </c>
      <c r="L90" s="119">
        <v>208</v>
      </c>
      <c r="M90" s="119">
        <v>9</v>
      </c>
      <c r="N90" s="34" t="s">
        <v>161</v>
      </c>
      <c r="O90" s="120">
        <v>1838</v>
      </c>
      <c r="P90" s="120">
        <v>1</v>
      </c>
      <c r="Q90" s="120">
        <v>3500</v>
      </c>
      <c r="R90" s="120">
        <f t="shared" ref="R90:R91" si="52">ROUND(L90*M90*Q90/10000,)</f>
        <v>655</v>
      </c>
      <c r="S90" s="120">
        <v>0.85</v>
      </c>
      <c r="T90" s="120">
        <f>ROUND(O90*S90,0)</f>
        <v>1562</v>
      </c>
      <c r="U90" s="121">
        <f>MIN(R90,T90)</f>
        <v>655</v>
      </c>
      <c r="V90" s="120">
        <f>O90-U90</f>
        <v>1183</v>
      </c>
      <c r="W90" s="120">
        <f>315</f>
        <v>315</v>
      </c>
      <c r="X90" s="121"/>
      <c r="Y90" s="18">
        <f t="shared" si="39"/>
        <v>0</v>
      </c>
      <c r="Z90" s="120">
        <v>340</v>
      </c>
      <c r="AA90" s="119"/>
    </row>
    <row r="91" spans="1:27" s="41" customFormat="1" ht="38.25" customHeight="1">
      <c r="A91" s="73">
        <v>29</v>
      </c>
      <c r="B91" s="119"/>
      <c r="C91" s="19" t="s">
        <v>26</v>
      </c>
      <c r="D91" s="19" t="s">
        <v>181</v>
      </c>
      <c r="E91" s="43">
        <v>110.51377861</v>
      </c>
      <c r="F91" s="44">
        <v>28.62599028</v>
      </c>
      <c r="G91" s="19" t="s">
        <v>56</v>
      </c>
      <c r="H91" s="36" t="s">
        <v>34</v>
      </c>
      <c r="I91" s="19" t="s">
        <v>57</v>
      </c>
      <c r="J91" s="19" t="s">
        <v>58</v>
      </c>
      <c r="K91" s="19" t="s">
        <v>150</v>
      </c>
      <c r="L91" s="119">
        <v>267</v>
      </c>
      <c r="M91" s="119">
        <v>12</v>
      </c>
      <c r="N91" s="34" t="s">
        <v>191</v>
      </c>
      <c r="O91" s="120">
        <v>7629.1704</v>
      </c>
      <c r="P91" s="120">
        <v>1</v>
      </c>
      <c r="Q91" s="120">
        <v>3500</v>
      </c>
      <c r="R91" s="120">
        <f t="shared" si="52"/>
        <v>1121</v>
      </c>
      <c r="S91" s="120">
        <v>0.85</v>
      </c>
      <c r="T91" s="120">
        <f>ROUND(O91*S91,0)</f>
        <v>6485</v>
      </c>
      <c r="U91" s="121">
        <f>MIN(R91,T91)</f>
        <v>1121</v>
      </c>
      <c r="V91" s="120">
        <f>O91-U91</f>
        <v>6508.1704</v>
      </c>
      <c r="W91" s="120">
        <f>ROUND(U91*0.5,0)</f>
        <v>561</v>
      </c>
      <c r="X91" s="121"/>
      <c r="Y91" s="18">
        <f t="shared" si="39"/>
        <v>0</v>
      </c>
      <c r="Z91" s="120">
        <v>560</v>
      </c>
      <c r="AA91" s="119"/>
    </row>
    <row r="92" spans="1:27" s="41" customFormat="1" ht="38.25" customHeight="1">
      <c r="A92" s="73">
        <v>30</v>
      </c>
      <c r="B92" s="119"/>
      <c r="C92" s="19" t="s">
        <v>26</v>
      </c>
      <c r="D92" s="19" t="s">
        <v>59</v>
      </c>
      <c r="E92" s="43">
        <v>110.41651833</v>
      </c>
      <c r="F92" s="44">
        <v>28.486918330000002</v>
      </c>
      <c r="G92" s="19" t="s">
        <v>60</v>
      </c>
      <c r="H92" s="36" t="s">
        <v>34</v>
      </c>
      <c r="I92" s="19" t="s">
        <v>61</v>
      </c>
      <c r="J92" s="19" t="s">
        <v>62</v>
      </c>
      <c r="K92" s="19" t="s">
        <v>150</v>
      </c>
      <c r="L92" s="119">
        <v>128</v>
      </c>
      <c r="M92" s="119">
        <v>7</v>
      </c>
      <c r="N92" s="34" t="s">
        <v>160</v>
      </c>
      <c r="O92" s="120">
        <v>860</v>
      </c>
      <c r="P92" s="120">
        <v>1</v>
      </c>
      <c r="Q92" s="120">
        <v>3500</v>
      </c>
      <c r="R92" s="120">
        <f>ROUND(L92*M92*Q92/10000,)</f>
        <v>314</v>
      </c>
      <c r="S92" s="120">
        <v>0.85</v>
      </c>
      <c r="T92" s="120">
        <f>ROUND(O92*S92,0)</f>
        <v>731</v>
      </c>
      <c r="U92" s="121">
        <f>MIN(R92,T92)</f>
        <v>314</v>
      </c>
      <c r="V92" s="120">
        <f>O92-U92</f>
        <v>546</v>
      </c>
      <c r="W92" s="120">
        <f>159</f>
        <v>159</v>
      </c>
      <c r="X92" s="121"/>
      <c r="Y92" s="18">
        <f t="shared" si="39"/>
        <v>0</v>
      </c>
      <c r="Z92" s="120">
        <v>155</v>
      </c>
      <c r="AA92" s="119"/>
    </row>
    <row r="93" spans="1:27" ht="38.25" customHeight="1">
      <c r="A93" s="73">
        <v>31</v>
      </c>
      <c r="B93" s="93"/>
      <c r="C93" s="97" t="s">
        <v>155</v>
      </c>
      <c r="D93" s="97" t="s">
        <v>156</v>
      </c>
      <c r="E93" s="90">
        <v>109.32525483000001</v>
      </c>
      <c r="F93" s="90">
        <v>27.301148000000001</v>
      </c>
      <c r="G93" s="97" t="s">
        <v>157</v>
      </c>
      <c r="H93" s="97" t="s">
        <v>41</v>
      </c>
      <c r="I93" s="94" t="s">
        <v>158</v>
      </c>
      <c r="J93" s="97" t="s">
        <v>159</v>
      </c>
      <c r="K93" s="97"/>
      <c r="L93" s="97">
        <v>25.04</v>
      </c>
      <c r="M93" s="97">
        <v>6</v>
      </c>
      <c r="N93" s="96" t="s">
        <v>461</v>
      </c>
      <c r="O93" s="98">
        <v>115.47880000000001</v>
      </c>
      <c r="P93" s="70">
        <v>1</v>
      </c>
      <c r="Q93" s="73">
        <v>3000</v>
      </c>
      <c r="R93" s="73">
        <f t="shared" si="50"/>
        <v>45</v>
      </c>
      <c r="S93" s="75">
        <v>0.85</v>
      </c>
      <c r="T93" s="73">
        <f t="shared" si="51"/>
        <v>98</v>
      </c>
      <c r="U93" s="73">
        <f t="shared" si="27"/>
        <v>45</v>
      </c>
      <c r="V93" s="73"/>
      <c r="W93" s="73">
        <v>22.5</v>
      </c>
      <c r="X93" s="73">
        <f t="shared" si="32"/>
        <v>22.5</v>
      </c>
      <c r="Y93" s="18">
        <f t="shared" si="39"/>
        <v>10.604096989966555</v>
      </c>
      <c r="Z93" s="73">
        <f t="shared" si="28"/>
        <v>11</v>
      </c>
      <c r="AA93" s="120"/>
    </row>
    <row r="94" spans="1:27" ht="38.25" customHeight="1">
      <c r="A94" s="73">
        <v>32</v>
      </c>
      <c r="B94" s="99"/>
      <c r="C94" s="100" t="s">
        <v>24</v>
      </c>
      <c r="D94" s="101" t="s">
        <v>63</v>
      </c>
      <c r="E94" s="102">
        <v>109.69033333</v>
      </c>
      <c r="F94" s="102">
        <v>27.734472220000001</v>
      </c>
      <c r="G94" s="101" t="s">
        <v>64</v>
      </c>
      <c r="H94" s="103" t="s">
        <v>34</v>
      </c>
      <c r="I94" s="104" t="s">
        <v>65</v>
      </c>
      <c r="J94" s="105" t="s">
        <v>25</v>
      </c>
      <c r="K94" s="105">
        <v>1</v>
      </c>
      <c r="L94" s="106">
        <v>257</v>
      </c>
      <c r="M94" s="106">
        <v>12</v>
      </c>
      <c r="N94" s="107" t="s">
        <v>462</v>
      </c>
      <c r="O94" s="108">
        <v>1766.9194</v>
      </c>
      <c r="P94" s="109">
        <v>1</v>
      </c>
      <c r="Q94" s="108">
        <v>3500</v>
      </c>
      <c r="R94" s="74">
        <f>ROUND(L94*8.5*Q94/10000,)</f>
        <v>765</v>
      </c>
      <c r="S94" s="110">
        <v>0.85</v>
      </c>
      <c r="T94" s="108">
        <f t="shared" si="51"/>
        <v>1502</v>
      </c>
      <c r="U94" s="73">
        <f t="shared" si="27"/>
        <v>765</v>
      </c>
      <c r="V94" s="73"/>
      <c r="W94" s="73">
        <v>540</v>
      </c>
      <c r="X94" s="73">
        <f t="shared" si="32"/>
        <v>225</v>
      </c>
      <c r="Y94" s="18">
        <f t="shared" si="39"/>
        <v>106.04096989966555</v>
      </c>
      <c r="Z94" s="73">
        <f t="shared" si="28"/>
        <v>106</v>
      </c>
      <c r="AA94" s="120"/>
    </row>
  </sheetData>
  <mergeCells count="27">
    <mergeCell ref="A5:B5"/>
    <mergeCell ref="B10:C10"/>
    <mergeCell ref="B53:C53"/>
    <mergeCell ref="S3:S4"/>
    <mergeCell ref="T3:T4"/>
    <mergeCell ref="R3:R4"/>
    <mergeCell ref="J3:J4"/>
    <mergeCell ref="K3:K4"/>
    <mergeCell ref="L3:O3"/>
    <mergeCell ref="P3:P4"/>
    <mergeCell ref="Q3:Q4"/>
    <mergeCell ref="A1:B1"/>
    <mergeCell ref="A2:AA2"/>
    <mergeCell ref="A3:A4"/>
    <mergeCell ref="B3:B4"/>
    <mergeCell ref="C3:C4"/>
    <mergeCell ref="D3:D4"/>
    <mergeCell ref="E3:F3"/>
    <mergeCell ref="G3:G4"/>
    <mergeCell ref="H3:H4"/>
    <mergeCell ref="I3:I4"/>
    <mergeCell ref="Z3:Z4"/>
    <mergeCell ref="AA3:AA4"/>
    <mergeCell ref="U3:U4"/>
    <mergeCell ref="V3:V4"/>
    <mergeCell ref="W3:W4"/>
    <mergeCell ref="X3:X4"/>
  </mergeCells>
  <phoneticPr fontId="1" type="noConversion"/>
  <printOptions horizontalCentered="1"/>
  <pageMargins left="0.17" right="0.15748031496062992" top="0.55118110236220474" bottom="0.47244094488188981" header="0.31496062992125984" footer="0.31496062992125984"/>
  <pageSetup paperSize="9" scale="7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明细表</vt:lpstr>
      <vt:lpstr>明细表!Print_Titles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2018-12-25T02:24:45Z</dcterms:modified>
</cp:coreProperties>
</file>